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ewersassociation-my.sharepoint.com/personal/mackenzie_brewersassociation_org/Documents/Downloads/"/>
    </mc:Choice>
  </mc:AlternateContent>
  <xr:revisionPtr revIDLastSave="0" documentId="8_{7CB24338-F719-4418-A44B-74C3D06127A4}" xr6:coauthVersionLast="41" xr6:coauthVersionMax="41" xr10:uidLastSave="{00000000-0000-0000-0000-000000000000}"/>
  <bookViews>
    <workbookView xWindow="-120" yWindow="-120" windowWidth="29040" windowHeight="15840"/>
  </bookViews>
  <sheets>
    <sheet name="Reference" sheetId="7" r:id="rId1"/>
    <sheet name="COGS and Revenue" sheetId="4" r:id="rId2"/>
    <sheet name="Sales Forecast" sheetId="16" r:id="rId3"/>
    <sheet name="Profit and Loss" sheetId="10" r:id="rId4"/>
    <sheet name="Start Up Funds and Fixed Assets" sheetId="8" r:id="rId5"/>
    <sheet name="Balance Sheet" sheetId="13" r:id="rId6"/>
    <sheet name="Cash Flow" sheetId="14" r:id="rId7"/>
    <sheet name="Loan Interest" sheetId="15" r:id="rId8"/>
  </sheets>
  <externalReferences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48" i="16" l="1"/>
  <c r="Z48" i="16"/>
  <c r="O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P48" i="16"/>
  <c r="Q48" i="16"/>
  <c r="R48" i="16"/>
  <c r="S48" i="16"/>
  <c r="T48" i="16"/>
  <c r="U48" i="16"/>
  <c r="V48" i="16"/>
  <c r="W48" i="16"/>
  <c r="X48" i="16"/>
  <c r="Y48" i="16"/>
  <c r="AA48" i="16"/>
  <c r="AB48" i="16"/>
  <c r="AC48" i="16"/>
  <c r="AD48" i="16"/>
  <c r="AE48" i="16"/>
  <c r="AF48" i="16"/>
  <c r="AL7" i="14"/>
  <c r="AL9" i="14"/>
  <c r="AL21" i="14"/>
  <c r="AK7" i="14"/>
  <c r="AK9" i="14"/>
  <c r="AK21" i="14"/>
  <c r="AJ7" i="14"/>
  <c r="AJ9" i="14"/>
  <c r="AJ21" i="14"/>
  <c r="AI7" i="14"/>
  <c r="AI9" i="14"/>
  <c r="AI21" i="14"/>
  <c r="AH7" i="14"/>
  <c r="AH9" i="14"/>
  <c r="AH21" i="14"/>
  <c r="AG7" i="14"/>
  <c r="AG9" i="14"/>
  <c r="AG21" i="14"/>
  <c r="AF7" i="14"/>
  <c r="AF9" i="14"/>
  <c r="AF21" i="14"/>
  <c r="AE7" i="14"/>
  <c r="AE9" i="14"/>
  <c r="AE21" i="14"/>
  <c r="AD7" i="14"/>
  <c r="AD9" i="14"/>
  <c r="AD21" i="14"/>
  <c r="AC7" i="14"/>
  <c r="AC9" i="14"/>
  <c r="AC21" i="14"/>
  <c r="AB7" i="14"/>
  <c r="AB9" i="14"/>
  <c r="AB21" i="14"/>
  <c r="AA7" i="14"/>
  <c r="AA9" i="14"/>
  <c r="AA21" i="14"/>
  <c r="Z7" i="14"/>
  <c r="Z9" i="14"/>
  <c r="Z21" i="14"/>
  <c r="Y7" i="14"/>
  <c r="Y9" i="14"/>
  <c r="Y21" i="14"/>
  <c r="X7" i="14"/>
  <c r="X9" i="14"/>
  <c r="X21" i="14"/>
  <c r="W7" i="14"/>
  <c r="W9" i="14"/>
  <c r="W21" i="14"/>
  <c r="V7" i="14"/>
  <c r="V9" i="14"/>
  <c r="V21" i="14"/>
  <c r="U7" i="14"/>
  <c r="U9" i="14"/>
  <c r="U21" i="14"/>
  <c r="T7" i="14"/>
  <c r="T9" i="14"/>
  <c r="T21" i="14"/>
  <c r="S7" i="14"/>
  <c r="S9" i="14"/>
  <c r="S21" i="14"/>
  <c r="R7" i="14"/>
  <c r="R9" i="14"/>
  <c r="R21" i="14"/>
  <c r="Q7" i="14"/>
  <c r="Q9" i="14"/>
  <c r="Q21" i="14"/>
  <c r="P7" i="14"/>
  <c r="P9" i="14"/>
  <c r="P21" i="14"/>
  <c r="O7" i="14"/>
  <c r="O9" i="14"/>
  <c r="O21" i="14"/>
  <c r="N7" i="14"/>
  <c r="N9" i="14"/>
  <c r="N21" i="14"/>
  <c r="M7" i="14"/>
  <c r="M9" i="14"/>
  <c r="M21" i="14"/>
  <c r="L7" i="14"/>
  <c r="L9" i="14"/>
  <c r="L21" i="14"/>
  <c r="K7" i="14"/>
  <c r="K9" i="14"/>
  <c r="K21" i="14"/>
  <c r="J7" i="14"/>
  <c r="J9" i="14"/>
  <c r="J21" i="14"/>
  <c r="J23" i="14"/>
  <c r="K22" i="14"/>
  <c r="K23" i="14"/>
  <c r="L22" i="14"/>
  <c r="L23" i="14"/>
  <c r="M22" i="14"/>
  <c r="M23" i="14"/>
  <c r="N22" i="14"/>
  <c r="N23" i="14"/>
  <c r="O22" i="14"/>
  <c r="O23" i="14"/>
  <c r="P22" i="14"/>
  <c r="P23" i="14"/>
  <c r="Q22" i="14"/>
  <c r="Q23" i="14"/>
  <c r="R22" i="14"/>
  <c r="R23" i="14"/>
  <c r="S22" i="14"/>
  <c r="S23" i="14"/>
  <c r="T22" i="14"/>
  <c r="T23" i="14"/>
  <c r="U22" i="14"/>
  <c r="U23" i="14"/>
  <c r="V22" i="14"/>
  <c r="V23" i="14"/>
  <c r="W22" i="14"/>
  <c r="W23" i="14"/>
  <c r="X22" i="14"/>
  <c r="X23" i="14"/>
  <c r="Y22" i="14"/>
  <c r="Y23" i="14"/>
  <c r="Z22" i="14"/>
  <c r="Z23" i="14"/>
  <c r="AA22" i="14"/>
  <c r="AA23" i="14"/>
  <c r="AB22" i="14"/>
  <c r="AB23" i="14"/>
  <c r="AC22" i="14"/>
  <c r="AC23" i="14"/>
  <c r="AD22" i="14"/>
  <c r="AD23" i="14"/>
  <c r="AE22" i="14"/>
  <c r="AE23" i="14"/>
  <c r="AF22" i="14"/>
  <c r="AF23" i="14"/>
  <c r="AG22" i="14"/>
  <c r="AG23" i="14"/>
  <c r="AH22" i="14"/>
  <c r="AH23" i="14"/>
  <c r="AI22" i="14"/>
  <c r="AI23" i="14"/>
  <c r="AJ22" i="14"/>
  <c r="AJ23" i="14"/>
  <c r="AK22" i="14"/>
  <c r="AK23" i="14"/>
  <c r="AL22" i="14"/>
  <c r="AL23" i="14"/>
  <c r="D5" i="13"/>
  <c r="AG48" i="16"/>
  <c r="AH48" i="16"/>
  <c r="AI48" i="16"/>
  <c r="AJ48" i="16"/>
  <c r="AK48" i="16"/>
  <c r="D7" i="13"/>
  <c r="D8" i="13"/>
  <c r="D17" i="13"/>
  <c r="C5" i="13"/>
  <c r="C7" i="13"/>
  <c r="C8" i="13"/>
  <c r="C17" i="13"/>
  <c r="B5" i="13"/>
  <c r="B7" i="13"/>
  <c r="B8" i="13"/>
  <c r="B17" i="13"/>
  <c r="I7" i="14"/>
  <c r="AM48" i="16"/>
  <c r="C23" i="4"/>
  <c r="AR13" i="10"/>
  <c r="C30" i="4"/>
  <c r="AR14" i="10"/>
  <c r="C34" i="4"/>
  <c r="AR15" i="10"/>
  <c r="AR23" i="10"/>
  <c r="AQ13" i="10"/>
  <c r="AQ14" i="10"/>
  <c r="AQ15" i="10"/>
  <c r="AQ23" i="10"/>
  <c r="AP13" i="10"/>
  <c r="AP14" i="10"/>
  <c r="AP15" i="10"/>
  <c r="AP23" i="10"/>
  <c r="AO13" i="10"/>
  <c r="AO14" i="10"/>
  <c r="AO15" i="10"/>
  <c r="AO23" i="10"/>
  <c r="AN13" i="10"/>
  <c r="AN14" i="10"/>
  <c r="AN15" i="10"/>
  <c r="AN23" i="10"/>
  <c r="AM13" i="10"/>
  <c r="AM14" i="10"/>
  <c r="AM15" i="10"/>
  <c r="AM23" i="10"/>
  <c r="AL13" i="10"/>
  <c r="AL14" i="10"/>
  <c r="AL15" i="10"/>
  <c r="AL23" i="10"/>
  <c r="AK13" i="10"/>
  <c r="AK14" i="10"/>
  <c r="AK15" i="10"/>
  <c r="AK23" i="10"/>
  <c r="AJ13" i="10"/>
  <c r="AJ14" i="10"/>
  <c r="AJ15" i="10"/>
  <c r="AJ23" i="10"/>
  <c r="AI13" i="10"/>
  <c r="AI14" i="10"/>
  <c r="AI15" i="10"/>
  <c r="AI23" i="10"/>
  <c r="AH13" i="10"/>
  <c r="AH14" i="10"/>
  <c r="AH15" i="10"/>
  <c r="AH23" i="10"/>
  <c r="AG13" i="10"/>
  <c r="AG14" i="10"/>
  <c r="AG15" i="10"/>
  <c r="AG23" i="10"/>
  <c r="AF13" i="10"/>
  <c r="AF14" i="10"/>
  <c r="AF15" i="10"/>
  <c r="AF23" i="10"/>
  <c r="AE13" i="10"/>
  <c r="AE14" i="10"/>
  <c r="AE15" i="10"/>
  <c r="AE23" i="10"/>
  <c r="AD13" i="10"/>
  <c r="AD14" i="10"/>
  <c r="AD15" i="10"/>
  <c r="AD23" i="10"/>
  <c r="AC13" i="10"/>
  <c r="AC14" i="10"/>
  <c r="AC15" i="10"/>
  <c r="AC23" i="10"/>
  <c r="AB13" i="10"/>
  <c r="AB14" i="10"/>
  <c r="AB15" i="10"/>
  <c r="AB23" i="10"/>
  <c r="AA13" i="10"/>
  <c r="AA14" i="10"/>
  <c r="AA15" i="10"/>
  <c r="AA23" i="10"/>
  <c r="Z13" i="10"/>
  <c r="Z14" i="10"/>
  <c r="Z15" i="10"/>
  <c r="Z23" i="10"/>
  <c r="Y13" i="10"/>
  <c r="Y14" i="10"/>
  <c r="Y15" i="10"/>
  <c r="Y23" i="10"/>
  <c r="X13" i="10"/>
  <c r="X14" i="10"/>
  <c r="X15" i="10"/>
  <c r="X23" i="10"/>
  <c r="W13" i="10"/>
  <c r="W14" i="10"/>
  <c r="W15" i="10"/>
  <c r="W23" i="10"/>
  <c r="V13" i="10"/>
  <c r="V14" i="10"/>
  <c r="V15" i="10"/>
  <c r="V23" i="10"/>
  <c r="U13" i="10"/>
  <c r="U14" i="10"/>
  <c r="U15" i="10"/>
  <c r="U23" i="10"/>
  <c r="T13" i="10"/>
  <c r="T14" i="10"/>
  <c r="T15" i="10"/>
  <c r="T23" i="10"/>
  <c r="S13" i="10"/>
  <c r="S14" i="10"/>
  <c r="S15" i="10"/>
  <c r="S23" i="10"/>
  <c r="R13" i="10"/>
  <c r="R14" i="10"/>
  <c r="R15" i="10"/>
  <c r="R23" i="10"/>
  <c r="Q13" i="10"/>
  <c r="Q14" i="10"/>
  <c r="Q15" i="10"/>
  <c r="Q23" i="10"/>
  <c r="P13" i="10"/>
  <c r="P14" i="10"/>
  <c r="P15" i="10"/>
  <c r="P23" i="10"/>
  <c r="O13" i="10"/>
  <c r="O14" i="10"/>
  <c r="O15" i="10"/>
  <c r="O23" i="10"/>
  <c r="N13" i="10"/>
  <c r="N14" i="10"/>
  <c r="N15" i="10"/>
  <c r="N23" i="10"/>
  <c r="M13" i="10"/>
  <c r="M14" i="10"/>
  <c r="M15" i="10"/>
  <c r="M23" i="10"/>
  <c r="L13" i="10"/>
  <c r="L14" i="10"/>
  <c r="L15" i="10"/>
  <c r="L23" i="10"/>
  <c r="K13" i="10"/>
  <c r="K14" i="10"/>
  <c r="K15" i="10"/>
  <c r="K23" i="10"/>
  <c r="J13" i="10"/>
  <c r="J14" i="10"/>
  <c r="J15" i="10"/>
  <c r="J23" i="10"/>
  <c r="I13" i="10"/>
  <c r="I14" i="10"/>
  <c r="I15" i="10"/>
  <c r="I23" i="10"/>
  <c r="AI37" i="10"/>
  <c r="AJ37" i="10"/>
  <c r="AK37" i="10"/>
  <c r="AL37" i="10"/>
  <c r="AM37" i="10"/>
  <c r="AN37" i="10"/>
  <c r="AO37" i="10"/>
  <c r="AP37" i="10"/>
  <c r="AQ37" i="10"/>
  <c r="AR37" i="10"/>
  <c r="AI38" i="10"/>
  <c r="AJ38" i="10"/>
  <c r="AK38" i="10"/>
  <c r="AL38" i="10"/>
  <c r="AM38" i="10"/>
  <c r="AN38" i="10"/>
  <c r="AO38" i="10"/>
  <c r="AP38" i="10"/>
  <c r="AQ38" i="10"/>
  <c r="AR38" i="10"/>
  <c r="AH38" i="10"/>
  <c r="AH37" i="10"/>
  <c r="AI19" i="10"/>
  <c r="AJ19" i="10"/>
  <c r="AK19" i="10"/>
  <c r="AL19" i="10"/>
  <c r="AM19" i="10"/>
  <c r="AN19" i="10"/>
  <c r="AO19" i="10"/>
  <c r="AP19" i="10"/>
  <c r="AQ19" i="10"/>
  <c r="AR19" i="10"/>
  <c r="AH19" i="10"/>
  <c r="AM18" i="10"/>
  <c r="AN18" i="10"/>
  <c r="AO18" i="10"/>
  <c r="AP18" i="10"/>
  <c r="AQ18" i="10"/>
  <c r="AR18" i="10"/>
  <c r="AJ18" i="10"/>
  <c r="AK18" i="10"/>
  <c r="AL18" i="10"/>
  <c r="AI18" i="10"/>
  <c r="AH18" i="10"/>
  <c r="AG19" i="10"/>
  <c r="AG18" i="10"/>
  <c r="AG38" i="10"/>
  <c r="AG37" i="10"/>
  <c r="AF38" i="10"/>
  <c r="AE38" i="10"/>
  <c r="AD38" i="10"/>
  <c r="AC38" i="10"/>
  <c r="AB38" i="10"/>
  <c r="AA38" i="10"/>
  <c r="Z38" i="10"/>
  <c r="Y38" i="10"/>
  <c r="X38" i="10"/>
  <c r="W38" i="10"/>
  <c r="V38" i="10"/>
  <c r="AF37" i="10"/>
  <c r="AE37" i="10"/>
  <c r="AD37" i="10"/>
  <c r="AC37" i="10"/>
  <c r="AB37" i="10"/>
  <c r="AA37" i="10"/>
  <c r="Z37" i="10"/>
  <c r="Y37" i="10"/>
  <c r="X37" i="10"/>
  <c r="W37" i="10"/>
  <c r="W18" i="10"/>
  <c r="X18" i="10"/>
  <c r="Y18" i="10"/>
  <c r="Z18" i="10"/>
  <c r="AA18" i="10"/>
  <c r="AB18" i="10"/>
  <c r="AC18" i="10"/>
  <c r="AD18" i="10"/>
  <c r="AE18" i="10"/>
  <c r="AF18" i="10"/>
  <c r="W19" i="10"/>
  <c r="X19" i="10"/>
  <c r="Y19" i="10"/>
  <c r="Z19" i="10"/>
  <c r="AA19" i="10"/>
  <c r="AB19" i="10"/>
  <c r="AC19" i="10"/>
  <c r="AD19" i="10"/>
  <c r="AE19" i="10"/>
  <c r="AF19" i="10"/>
  <c r="V19" i="10"/>
  <c r="V18" i="10"/>
  <c r="V37" i="10"/>
  <c r="U38" i="10"/>
  <c r="U37" i="10"/>
  <c r="U19" i="10"/>
  <c r="U18" i="10"/>
  <c r="T37" i="10"/>
  <c r="S37" i="10"/>
  <c r="R37" i="10"/>
  <c r="Q37" i="10"/>
  <c r="P37" i="10"/>
  <c r="O37" i="10"/>
  <c r="N37" i="10"/>
  <c r="M37" i="10"/>
  <c r="L37" i="10"/>
  <c r="K37" i="10"/>
  <c r="J37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F40" i="10"/>
  <c r="E40" i="10"/>
  <c r="D40" i="10"/>
  <c r="C40" i="10"/>
  <c r="B40" i="10"/>
  <c r="I21" i="10"/>
  <c r="G40" i="10"/>
  <c r="H40" i="10"/>
  <c r="I40" i="10"/>
  <c r="I37" i="10"/>
  <c r="B38" i="10"/>
  <c r="C38" i="10"/>
  <c r="D38" i="10"/>
  <c r="E38" i="10"/>
  <c r="F38" i="10"/>
  <c r="G38" i="10"/>
  <c r="H38" i="10"/>
  <c r="D9" i="16"/>
  <c r="C16" i="4"/>
  <c r="I12" i="10"/>
  <c r="E9" i="16"/>
  <c r="J12" i="10"/>
  <c r="F9" i="16"/>
  <c r="K12" i="10"/>
  <c r="G9" i="16"/>
  <c r="L12" i="10"/>
  <c r="H9" i="16"/>
  <c r="M12" i="10"/>
  <c r="I9" i="16"/>
  <c r="N12" i="10"/>
  <c r="J9" i="16"/>
  <c r="O12" i="10"/>
  <c r="K9" i="16"/>
  <c r="P12" i="10"/>
  <c r="L9" i="16"/>
  <c r="Q12" i="10"/>
  <c r="M9" i="16"/>
  <c r="R12" i="10"/>
  <c r="N9" i="16"/>
  <c r="S12" i="10"/>
  <c r="O9" i="16"/>
  <c r="T12" i="10"/>
  <c r="P9" i="16"/>
  <c r="U12" i="10"/>
  <c r="Q9" i="16"/>
  <c r="V12" i="10"/>
  <c r="R9" i="16"/>
  <c r="W12" i="10"/>
  <c r="S9" i="16"/>
  <c r="X12" i="10"/>
  <c r="T9" i="16"/>
  <c r="Y12" i="10"/>
  <c r="U9" i="16"/>
  <c r="Z12" i="10"/>
  <c r="V9" i="16"/>
  <c r="AA12" i="10"/>
  <c r="W9" i="16"/>
  <c r="AB12" i="10"/>
  <c r="X9" i="16"/>
  <c r="AC12" i="10"/>
  <c r="Y9" i="16"/>
  <c r="AD12" i="10"/>
  <c r="Z9" i="16"/>
  <c r="AE12" i="10"/>
  <c r="AA9" i="16"/>
  <c r="AF12" i="10"/>
  <c r="AB9" i="16"/>
  <c r="AG12" i="10"/>
  <c r="AC9" i="16"/>
  <c r="AH12" i="10"/>
  <c r="AD9" i="16"/>
  <c r="AI12" i="10"/>
  <c r="AE9" i="16"/>
  <c r="AJ12" i="10"/>
  <c r="AF9" i="16"/>
  <c r="AK12" i="10"/>
  <c r="AG9" i="16"/>
  <c r="AL12" i="10"/>
  <c r="AH9" i="16"/>
  <c r="AM12" i="10"/>
  <c r="AI9" i="16"/>
  <c r="AN12" i="10"/>
  <c r="AJ9" i="16"/>
  <c r="AO12" i="10"/>
  <c r="AK9" i="16"/>
  <c r="AP12" i="10"/>
  <c r="AL9" i="16"/>
  <c r="AQ12" i="10"/>
  <c r="AM9" i="16"/>
  <c r="AR12" i="10"/>
  <c r="C11" i="4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AJ11" i="10"/>
  <c r="AK11" i="10"/>
  <c r="AL11" i="10"/>
  <c r="AM11" i="10"/>
  <c r="AN11" i="10"/>
  <c r="AO11" i="10"/>
  <c r="AP11" i="10"/>
  <c r="AQ11" i="10"/>
  <c r="AR11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AJ16" i="10"/>
  <c r="AK16" i="10"/>
  <c r="AL16" i="10"/>
  <c r="AM16" i="10"/>
  <c r="AN16" i="10"/>
  <c r="AO16" i="10"/>
  <c r="AP16" i="10"/>
  <c r="AQ16" i="10"/>
  <c r="AR16" i="10"/>
  <c r="I1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R6" i="10"/>
  <c r="G11" i="4"/>
  <c r="E35" i="16"/>
  <c r="G12" i="4"/>
  <c r="E36" i="16"/>
  <c r="G13" i="4"/>
  <c r="E37" i="16"/>
  <c r="E38" i="16"/>
  <c r="J5" i="10"/>
  <c r="F35" i="16"/>
  <c r="F36" i="16"/>
  <c r="F37" i="16"/>
  <c r="F38" i="16"/>
  <c r="K5" i="10"/>
  <c r="G35" i="16"/>
  <c r="G36" i="16"/>
  <c r="G37" i="16"/>
  <c r="G38" i="16"/>
  <c r="L5" i="10"/>
  <c r="H35" i="16"/>
  <c r="H36" i="16"/>
  <c r="H37" i="16"/>
  <c r="H38" i="16"/>
  <c r="M5" i="10"/>
  <c r="I35" i="16"/>
  <c r="I36" i="16"/>
  <c r="I37" i="16"/>
  <c r="I38" i="16"/>
  <c r="N5" i="10"/>
  <c r="J35" i="16"/>
  <c r="J36" i="16"/>
  <c r="J37" i="16"/>
  <c r="J38" i="16"/>
  <c r="O5" i="10"/>
  <c r="K35" i="16"/>
  <c r="K36" i="16"/>
  <c r="K37" i="16"/>
  <c r="K38" i="16"/>
  <c r="P5" i="10"/>
  <c r="L35" i="16"/>
  <c r="L36" i="16"/>
  <c r="L37" i="16"/>
  <c r="L38" i="16"/>
  <c r="Q5" i="10"/>
  <c r="M35" i="16"/>
  <c r="M36" i="16"/>
  <c r="M37" i="16"/>
  <c r="M38" i="16"/>
  <c r="R5" i="10"/>
  <c r="N35" i="16"/>
  <c r="N36" i="16"/>
  <c r="N37" i="16"/>
  <c r="N38" i="16"/>
  <c r="S5" i="10"/>
  <c r="O35" i="16"/>
  <c r="O36" i="16"/>
  <c r="O37" i="16"/>
  <c r="O38" i="16"/>
  <c r="T5" i="10"/>
  <c r="P35" i="16"/>
  <c r="P36" i="16"/>
  <c r="P37" i="16"/>
  <c r="P38" i="16"/>
  <c r="U5" i="10"/>
  <c r="Q35" i="16"/>
  <c r="Q36" i="16"/>
  <c r="Q37" i="16"/>
  <c r="Q38" i="16"/>
  <c r="V5" i="10"/>
  <c r="R35" i="16"/>
  <c r="R36" i="16"/>
  <c r="R37" i="16"/>
  <c r="R38" i="16"/>
  <c r="W5" i="10"/>
  <c r="S35" i="16"/>
  <c r="S36" i="16"/>
  <c r="S37" i="16"/>
  <c r="S38" i="16"/>
  <c r="X5" i="10"/>
  <c r="T35" i="16"/>
  <c r="T36" i="16"/>
  <c r="T37" i="16"/>
  <c r="T38" i="16"/>
  <c r="Y5" i="10"/>
  <c r="U35" i="16"/>
  <c r="U36" i="16"/>
  <c r="U37" i="16"/>
  <c r="U38" i="16"/>
  <c r="Z5" i="10"/>
  <c r="V35" i="16"/>
  <c r="V36" i="16"/>
  <c r="V37" i="16"/>
  <c r="V38" i="16"/>
  <c r="AA5" i="10"/>
  <c r="W35" i="16"/>
  <c r="W36" i="16"/>
  <c r="W37" i="16"/>
  <c r="W38" i="16"/>
  <c r="AB5" i="10"/>
  <c r="X35" i="16"/>
  <c r="X36" i="16"/>
  <c r="X37" i="16"/>
  <c r="X38" i="16"/>
  <c r="AC5" i="10"/>
  <c r="Y35" i="16"/>
  <c r="Y36" i="16"/>
  <c r="Y37" i="16"/>
  <c r="Y38" i="16"/>
  <c r="AD5" i="10"/>
  <c r="Z35" i="16"/>
  <c r="Z36" i="16"/>
  <c r="Z37" i="16"/>
  <c r="Z38" i="16"/>
  <c r="AE5" i="10"/>
  <c r="AA35" i="16"/>
  <c r="AA36" i="16"/>
  <c r="AA37" i="16"/>
  <c r="AA38" i="16"/>
  <c r="AF5" i="10"/>
  <c r="AB35" i="16"/>
  <c r="AB36" i="16"/>
  <c r="AB37" i="16"/>
  <c r="AB38" i="16"/>
  <c r="AG5" i="10"/>
  <c r="AC35" i="16"/>
  <c r="AC36" i="16"/>
  <c r="AC37" i="16"/>
  <c r="AC38" i="16"/>
  <c r="AH5" i="10"/>
  <c r="AD35" i="16"/>
  <c r="AD36" i="16"/>
  <c r="AD37" i="16"/>
  <c r="AD38" i="16"/>
  <c r="AI5" i="10"/>
  <c r="AE35" i="16"/>
  <c r="AE36" i="16"/>
  <c r="AE37" i="16"/>
  <c r="AE38" i="16"/>
  <c r="AJ5" i="10"/>
  <c r="AF35" i="16"/>
  <c r="AF36" i="16"/>
  <c r="AF37" i="16"/>
  <c r="AF38" i="16"/>
  <c r="AK5" i="10"/>
  <c r="AG35" i="16"/>
  <c r="AG36" i="16"/>
  <c r="AG37" i="16"/>
  <c r="AG38" i="16"/>
  <c r="AL5" i="10"/>
  <c r="AH35" i="16"/>
  <c r="AH36" i="16"/>
  <c r="AH37" i="16"/>
  <c r="AH38" i="16"/>
  <c r="AM5" i="10"/>
  <c r="AI35" i="16"/>
  <c r="AI36" i="16"/>
  <c r="AI37" i="16"/>
  <c r="AI38" i="16"/>
  <c r="AN5" i="10"/>
  <c r="AJ35" i="16"/>
  <c r="AJ36" i="16"/>
  <c r="AJ37" i="16"/>
  <c r="AJ38" i="16"/>
  <c r="AO5" i="10"/>
  <c r="AK35" i="16"/>
  <c r="AK36" i="16"/>
  <c r="AK37" i="16"/>
  <c r="AK38" i="16"/>
  <c r="AP5" i="10"/>
  <c r="AL35" i="16"/>
  <c r="AL36" i="16"/>
  <c r="AL37" i="16"/>
  <c r="AL38" i="16"/>
  <c r="AQ5" i="10"/>
  <c r="AM35" i="16"/>
  <c r="AM36" i="16"/>
  <c r="AM37" i="16"/>
  <c r="AM38" i="16"/>
  <c r="AR5" i="10"/>
  <c r="G6" i="4"/>
  <c r="E30" i="16"/>
  <c r="F7" i="4"/>
  <c r="G7" i="4"/>
  <c r="E31" i="16"/>
  <c r="F9" i="4"/>
  <c r="G9" i="4"/>
  <c r="E32" i="16"/>
  <c r="E33" i="16"/>
  <c r="J4" i="10"/>
  <c r="F30" i="16"/>
  <c r="F31" i="16"/>
  <c r="F32" i="16"/>
  <c r="F33" i="16"/>
  <c r="K4" i="10"/>
  <c r="G30" i="16"/>
  <c r="G31" i="16"/>
  <c r="G32" i="16"/>
  <c r="G33" i="16"/>
  <c r="L4" i="10"/>
  <c r="H30" i="16"/>
  <c r="H31" i="16"/>
  <c r="H32" i="16"/>
  <c r="H33" i="16"/>
  <c r="M4" i="10"/>
  <c r="I30" i="16"/>
  <c r="I31" i="16"/>
  <c r="I32" i="16"/>
  <c r="I33" i="16"/>
  <c r="N4" i="10"/>
  <c r="J30" i="16"/>
  <c r="J31" i="16"/>
  <c r="J32" i="16"/>
  <c r="J33" i="16"/>
  <c r="O4" i="10"/>
  <c r="K30" i="16"/>
  <c r="K31" i="16"/>
  <c r="K32" i="16"/>
  <c r="K33" i="16"/>
  <c r="P4" i="10"/>
  <c r="L30" i="16"/>
  <c r="L31" i="16"/>
  <c r="L32" i="16"/>
  <c r="L33" i="16"/>
  <c r="Q4" i="10"/>
  <c r="M30" i="16"/>
  <c r="M31" i="16"/>
  <c r="M32" i="16"/>
  <c r="M33" i="16"/>
  <c r="R4" i="10"/>
  <c r="N30" i="16"/>
  <c r="N31" i="16"/>
  <c r="N32" i="16"/>
  <c r="N33" i="16"/>
  <c r="S4" i="10"/>
  <c r="O30" i="16"/>
  <c r="O31" i="16"/>
  <c r="O32" i="16"/>
  <c r="O33" i="16"/>
  <c r="T4" i="10"/>
  <c r="P30" i="16"/>
  <c r="P31" i="16"/>
  <c r="P32" i="16"/>
  <c r="P33" i="16"/>
  <c r="U4" i="10"/>
  <c r="Q30" i="16"/>
  <c r="Q31" i="16"/>
  <c r="Q32" i="16"/>
  <c r="Q33" i="16"/>
  <c r="V4" i="10"/>
  <c r="R30" i="16"/>
  <c r="R31" i="16"/>
  <c r="R32" i="16"/>
  <c r="R33" i="16"/>
  <c r="W4" i="10"/>
  <c r="S30" i="16"/>
  <c r="S31" i="16"/>
  <c r="S32" i="16"/>
  <c r="S33" i="16"/>
  <c r="X4" i="10"/>
  <c r="T30" i="16"/>
  <c r="T31" i="16"/>
  <c r="T32" i="16"/>
  <c r="T33" i="16"/>
  <c r="Y4" i="10"/>
  <c r="U30" i="16"/>
  <c r="U31" i="16"/>
  <c r="U32" i="16"/>
  <c r="U33" i="16"/>
  <c r="Z4" i="10"/>
  <c r="V30" i="16"/>
  <c r="V31" i="16"/>
  <c r="V32" i="16"/>
  <c r="V33" i="16"/>
  <c r="AA4" i="10"/>
  <c r="W30" i="16"/>
  <c r="W31" i="16"/>
  <c r="W32" i="16"/>
  <c r="W33" i="16"/>
  <c r="AB4" i="10"/>
  <c r="X30" i="16"/>
  <c r="X31" i="16"/>
  <c r="X32" i="16"/>
  <c r="X33" i="16"/>
  <c r="AC4" i="10"/>
  <c r="Y30" i="16"/>
  <c r="Y31" i="16"/>
  <c r="Y32" i="16"/>
  <c r="Y33" i="16"/>
  <c r="AD4" i="10"/>
  <c r="Z30" i="16"/>
  <c r="Z31" i="16"/>
  <c r="Z32" i="16"/>
  <c r="Z33" i="16"/>
  <c r="AE4" i="10"/>
  <c r="AA30" i="16"/>
  <c r="AA31" i="16"/>
  <c r="AA32" i="16"/>
  <c r="AA33" i="16"/>
  <c r="AF4" i="10"/>
  <c r="AB30" i="16"/>
  <c r="AB31" i="16"/>
  <c r="AB32" i="16"/>
  <c r="AB33" i="16"/>
  <c r="AG4" i="10"/>
  <c r="AC30" i="16"/>
  <c r="AC31" i="16"/>
  <c r="AC32" i="16"/>
  <c r="AC33" i="16"/>
  <c r="AH4" i="10"/>
  <c r="AD30" i="16"/>
  <c r="AD31" i="16"/>
  <c r="AD32" i="16"/>
  <c r="AD33" i="16"/>
  <c r="AI4" i="10"/>
  <c r="AE30" i="16"/>
  <c r="AE31" i="16"/>
  <c r="AE32" i="16"/>
  <c r="AE33" i="16"/>
  <c r="AJ4" i="10"/>
  <c r="AF30" i="16"/>
  <c r="AF31" i="16"/>
  <c r="AF32" i="16"/>
  <c r="AF33" i="16"/>
  <c r="AK4" i="10"/>
  <c r="AG30" i="16"/>
  <c r="AG31" i="16"/>
  <c r="AG32" i="16"/>
  <c r="AG33" i="16"/>
  <c r="AL4" i="10"/>
  <c r="AH30" i="16"/>
  <c r="AH31" i="16"/>
  <c r="AH32" i="16"/>
  <c r="AH33" i="16"/>
  <c r="AM4" i="10"/>
  <c r="AI30" i="16"/>
  <c r="AI31" i="16"/>
  <c r="AI32" i="16"/>
  <c r="AI33" i="16"/>
  <c r="AN4" i="10"/>
  <c r="AJ30" i="16"/>
  <c r="AJ31" i="16"/>
  <c r="AJ32" i="16"/>
  <c r="AJ33" i="16"/>
  <c r="AO4" i="10"/>
  <c r="AK30" i="16"/>
  <c r="AK31" i="16"/>
  <c r="AK32" i="16"/>
  <c r="AK33" i="16"/>
  <c r="AP4" i="10"/>
  <c r="AL30" i="16"/>
  <c r="AL31" i="16"/>
  <c r="AL32" i="16"/>
  <c r="AL33" i="16"/>
  <c r="AQ4" i="10"/>
  <c r="AM30" i="16"/>
  <c r="AM31" i="16"/>
  <c r="AM32" i="16"/>
  <c r="AM33" i="16"/>
  <c r="AR4" i="10"/>
  <c r="G3" i="4"/>
  <c r="E25" i="16"/>
  <c r="G4" i="4"/>
  <c r="E26" i="16"/>
  <c r="G5" i="4"/>
  <c r="E27" i="16"/>
  <c r="E28" i="16"/>
  <c r="J3" i="10"/>
  <c r="F25" i="16"/>
  <c r="F26" i="16"/>
  <c r="F27" i="16"/>
  <c r="F28" i="16"/>
  <c r="K3" i="10"/>
  <c r="G25" i="16"/>
  <c r="G26" i="16"/>
  <c r="G27" i="16"/>
  <c r="G28" i="16"/>
  <c r="L3" i="10"/>
  <c r="H25" i="16"/>
  <c r="H26" i="16"/>
  <c r="H27" i="16"/>
  <c r="H28" i="16"/>
  <c r="M3" i="10"/>
  <c r="I25" i="16"/>
  <c r="I26" i="16"/>
  <c r="I27" i="16"/>
  <c r="I28" i="16"/>
  <c r="N3" i="10"/>
  <c r="J25" i="16"/>
  <c r="J26" i="16"/>
  <c r="J27" i="16"/>
  <c r="J28" i="16"/>
  <c r="O3" i="10"/>
  <c r="K25" i="16"/>
  <c r="K26" i="16"/>
  <c r="K27" i="16"/>
  <c r="K28" i="16"/>
  <c r="P3" i="10"/>
  <c r="L25" i="16"/>
  <c r="L26" i="16"/>
  <c r="L27" i="16"/>
  <c r="L28" i="16"/>
  <c r="Q3" i="10"/>
  <c r="M25" i="16"/>
  <c r="M26" i="16"/>
  <c r="M27" i="16"/>
  <c r="M28" i="16"/>
  <c r="R3" i="10"/>
  <c r="N25" i="16"/>
  <c r="N26" i="16"/>
  <c r="N27" i="16"/>
  <c r="N28" i="16"/>
  <c r="S3" i="10"/>
  <c r="O25" i="16"/>
  <c r="O26" i="16"/>
  <c r="O27" i="16"/>
  <c r="O28" i="16"/>
  <c r="T3" i="10"/>
  <c r="P25" i="16"/>
  <c r="P26" i="16"/>
  <c r="P27" i="16"/>
  <c r="P28" i="16"/>
  <c r="U3" i="10"/>
  <c r="Q25" i="16"/>
  <c r="Q26" i="16"/>
  <c r="Q27" i="16"/>
  <c r="Q28" i="16"/>
  <c r="V3" i="10"/>
  <c r="R25" i="16"/>
  <c r="R26" i="16"/>
  <c r="R27" i="16"/>
  <c r="R28" i="16"/>
  <c r="W3" i="10"/>
  <c r="S25" i="16"/>
  <c r="S26" i="16"/>
  <c r="S27" i="16"/>
  <c r="S28" i="16"/>
  <c r="X3" i="10"/>
  <c r="T25" i="16"/>
  <c r="T26" i="16"/>
  <c r="T27" i="16"/>
  <c r="T28" i="16"/>
  <c r="Y3" i="10"/>
  <c r="U25" i="16"/>
  <c r="U26" i="16"/>
  <c r="U27" i="16"/>
  <c r="U28" i="16"/>
  <c r="Z3" i="10"/>
  <c r="V25" i="16"/>
  <c r="V26" i="16"/>
  <c r="V27" i="16"/>
  <c r="V28" i="16"/>
  <c r="AA3" i="10"/>
  <c r="W25" i="16"/>
  <c r="W26" i="16"/>
  <c r="W27" i="16"/>
  <c r="W28" i="16"/>
  <c r="AB3" i="10"/>
  <c r="X25" i="16"/>
  <c r="X26" i="16"/>
  <c r="X27" i="16"/>
  <c r="X28" i="16"/>
  <c r="AC3" i="10"/>
  <c r="Y25" i="16"/>
  <c r="Y26" i="16"/>
  <c r="Y27" i="16"/>
  <c r="Y28" i="16"/>
  <c r="AD3" i="10"/>
  <c r="Z25" i="16"/>
  <c r="Z26" i="16"/>
  <c r="Z27" i="16"/>
  <c r="Z28" i="16"/>
  <c r="AE3" i="10"/>
  <c r="AA25" i="16"/>
  <c r="AA26" i="16"/>
  <c r="AA27" i="16"/>
  <c r="AA28" i="16"/>
  <c r="AF3" i="10"/>
  <c r="AB25" i="16"/>
  <c r="AB26" i="16"/>
  <c r="AB27" i="16"/>
  <c r="AB28" i="16"/>
  <c r="AG3" i="10"/>
  <c r="AC25" i="16"/>
  <c r="AC26" i="16"/>
  <c r="AC27" i="16"/>
  <c r="AC28" i="16"/>
  <c r="AH3" i="10"/>
  <c r="AD25" i="16"/>
  <c r="AD26" i="16"/>
  <c r="AD27" i="16"/>
  <c r="AD28" i="16"/>
  <c r="AI3" i="10"/>
  <c r="AE25" i="16"/>
  <c r="AE26" i="16"/>
  <c r="AE27" i="16"/>
  <c r="AE28" i="16"/>
  <c r="AJ3" i="10"/>
  <c r="AF25" i="16"/>
  <c r="AF26" i="16"/>
  <c r="AF27" i="16"/>
  <c r="AF28" i="16"/>
  <c r="AK3" i="10"/>
  <c r="AG25" i="16"/>
  <c r="AG26" i="16"/>
  <c r="AG27" i="16"/>
  <c r="AG28" i="16"/>
  <c r="AL3" i="10"/>
  <c r="AH25" i="16"/>
  <c r="AH26" i="16"/>
  <c r="AH27" i="16"/>
  <c r="AH28" i="16"/>
  <c r="AM3" i="10"/>
  <c r="AI25" i="16"/>
  <c r="AI26" i="16"/>
  <c r="AI27" i="16"/>
  <c r="AI28" i="16"/>
  <c r="AN3" i="10"/>
  <c r="AJ25" i="16"/>
  <c r="AJ26" i="16"/>
  <c r="AJ27" i="16"/>
  <c r="AJ28" i="16"/>
  <c r="AO3" i="10"/>
  <c r="AK25" i="16"/>
  <c r="AK26" i="16"/>
  <c r="AK27" i="16"/>
  <c r="AK28" i="16"/>
  <c r="AP3" i="10"/>
  <c r="AL25" i="16"/>
  <c r="AL26" i="16"/>
  <c r="AL27" i="16"/>
  <c r="AL28" i="16"/>
  <c r="AQ3" i="10"/>
  <c r="AM25" i="16"/>
  <c r="AM26" i="16"/>
  <c r="AM27" i="16"/>
  <c r="AM28" i="16"/>
  <c r="AR3" i="10"/>
  <c r="D35" i="16"/>
  <c r="D36" i="16"/>
  <c r="D37" i="16"/>
  <c r="D38" i="16"/>
  <c r="I5" i="10"/>
  <c r="D30" i="16"/>
  <c r="D31" i="16"/>
  <c r="D32" i="16"/>
  <c r="D33" i="16"/>
  <c r="I4" i="10"/>
  <c r="D25" i="16"/>
  <c r="D26" i="16"/>
  <c r="D27" i="16"/>
  <c r="D28" i="16"/>
  <c r="I3" i="10"/>
  <c r="AB40" i="16"/>
  <c r="AB44" i="16"/>
  <c r="AC40" i="16"/>
  <c r="AC44" i="16"/>
  <c r="AD40" i="16"/>
  <c r="AD44" i="16"/>
  <c r="AE40" i="16"/>
  <c r="AE44" i="16"/>
  <c r="AF40" i="16"/>
  <c r="AF44" i="16"/>
  <c r="AG40" i="16"/>
  <c r="AG44" i="16"/>
  <c r="AH40" i="16"/>
  <c r="AH44" i="16"/>
  <c r="AI40" i="16"/>
  <c r="AI44" i="16"/>
  <c r="AJ40" i="16"/>
  <c r="AJ44" i="16"/>
  <c r="AK40" i="16"/>
  <c r="AK44" i="16"/>
  <c r="AL40" i="16"/>
  <c r="AL44" i="16"/>
  <c r="AM40" i="16"/>
  <c r="AM44" i="16"/>
  <c r="AM46" i="16"/>
  <c r="AM43" i="16"/>
  <c r="AM39" i="16"/>
  <c r="AM34" i="16"/>
  <c r="AM29" i="16"/>
  <c r="E2" i="16"/>
  <c r="F2" i="16"/>
  <c r="G2" i="16"/>
  <c r="H2" i="16"/>
  <c r="I2" i="16"/>
  <c r="J2" i="16"/>
  <c r="K2" i="16"/>
  <c r="L2" i="16"/>
  <c r="M2" i="16"/>
  <c r="N2" i="16"/>
  <c r="O2" i="16"/>
  <c r="P2" i="16"/>
  <c r="Q2" i="16"/>
  <c r="R2" i="16"/>
  <c r="S2" i="16"/>
  <c r="T2" i="16"/>
  <c r="U2" i="16"/>
  <c r="V2" i="16"/>
  <c r="W2" i="16"/>
  <c r="X2" i="16"/>
  <c r="Y2" i="16"/>
  <c r="Z2" i="16"/>
  <c r="AA2" i="16"/>
  <c r="AB2" i="16"/>
  <c r="AC2" i="16"/>
  <c r="AD2" i="16"/>
  <c r="AE2" i="16"/>
  <c r="AF2" i="16"/>
  <c r="AG2" i="16"/>
  <c r="AH2" i="16"/>
  <c r="AI2" i="16"/>
  <c r="AJ2" i="16"/>
  <c r="AK2" i="16"/>
  <c r="AL2" i="16"/>
  <c r="AM2" i="16"/>
  <c r="AB14" i="16"/>
  <c r="AB19" i="16"/>
  <c r="AB21" i="16"/>
  <c r="AC14" i="16"/>
  <c r="AC19" i="16"/>
  <c r="AC21" i="16"/>
  <c r="AD14" i="16"/>
  <c r="AD19" i="16"/>
  <c r="AD21" i="16"/>
  <c r="AE14" i="16"/>
  <c r="AE19" i="16"/>
  <c r="AE21" i="16"/>
  <c r="AF14" i="16"/>
  <c r="AF19" i="16"/>
  <c r="AF21" i="16"/>
  <c r="AG14" i="16"/>
  <c r="AG19" i="16"/>
  <c r="AG21" i="16"/>
  <c r="AH14" i="16"/>
  <c r="AH19" i="16"/>
  <c r="AH21" i="16"/>
  <c r="AI14" i="16"/>
  <c r="AI19" i="16"/>
  <c r="AI21" i="16"/>
  <c r="AJ14" i="16"/>
  <c r="AJ19" i="16"/>
  <c r="AJ21" i="16"/>
  <c r="AK14" i="16"/>
  <c r="AK19" i="16"/>
  <c r="AK21" i="16"/>
  <c r="AL14" i="16"/>
  <c r="AL19" i="16"/>
  <c r="AL21" i="16"/>
  <c r="AM14" i="16"/>
  <c r="AM19" i="16"/>
  <c r="AM21" i="16"/>
  <c r="AM22" i="16"/>
  <c r="AM4" i="16"/>
  <c r="P40" i="16"/>
  <c r="P44" i="16"/>
  <c r="Q40" i="16"/>
  <c r="Q44" i="16"/>
  <c r="R40" i="16"/>
  <c r="R44" i="16"/>
  <c r="S40" i="16"/>
  <c r="S44" i="16"/>
  <c r="T40" i="16"/>
  <c r="T44" i="16"/>
  <c r="U40" i="16"/>
  <c r="U44" i="16"/>
  <c r="V40" i="16"/>
  <c r="V44" i="16"/>
  <c r="W40" i="16"/>
  <c r="W44" i="16"/>
  <c r="X40" i="16"/>
  <c r="X44" i="16"/>
  <c r="Y40" i="16"/>
  <c r="Y44" i="16"/>
  <c r="Z40" i="16"/>
  <c r="Z44" i="16"/>
  <c r="AA40" i="16"/>
  <c r="AA44" i="16"/>
  <c r="AA46" i="16"/>
  <c r="AA43" i="16"/>
  <c r="AA39" i="16"/>
  <c r="AA34" i="16"/>
  <c r="AA29" i="16"/>
  <c r="O29" i="16"/>
  <c r="P14" i="16"/>
  <c r="P19" i="16"/>
  <c r="P21" i="16"/>
  <c r="Q14" i="16"/>
  <c r="Q19" i="16"/>
  <c r="Q21" i="16"/>
  <c r="R14" i="16"/>
  <c r="R19" i="16"/>
  <c r="R21" i="16"/>
  <c r="S14" i="16"/>
  <c r="S19" i="16"/>
  <c r="S21" i="16"/>
  <c r="T14" i="16"/>
  <c r="T19" i="16"/>
  <c r="T21" i="16"/>
  <c r="U14" i="16"/>
  <c r="U19" i="16"/>
  <c r="U21" i="16"/>
  <c r="V14" i="16"/>
  <c r="V19" i="16"/>
  <c r="V21" i="16"/>
  <c r="W14" i="16"/>
  <c r="W19" i="16"/>
  <c r="W21" i="16"/>
  <c r="X14" i="16"/>
  <c r="X19" i="16"/>
  <c r="X21" i="16"/>
  <c r="Y14" i="16"/>
  <c r="Y19" i="16"/>
  <c r="Y21" i="16"/>
  <c r="Z14" i="16"/>
  <c r="Z19" i="16"/>
  <c r="Z21" i="16"/>
  <c r="AA14" i="16"/>
  <c r="AA19" i="16"/>
  <c r="AA21" i="16"/>
  <c r="AA22" i="16"/>
  <c r="AA4" i="16"/>
  <c r="D40" i="16"/>
  <c r="D44" i="16"/>
  <c r="E40" i="16"/>
  <c r="E44" i="16"/>
  <c r="F40" i="16"/>
  <c r="F44" i="16"/>
  <c r="G40" i="16"/>
  <c r="G44" i="16"/>
  <c r="H40" i="16"/>
  <c r="H44" i="16"/>
  <c r="I40" i="16"/>
  <c r="I44" i="16"/>
  <c r="J40" i="16"/>
  <c r="J44" i="16"/>
  <c r="K40" i="16"/>
  <c r="K44" i="16"/>
  <c r="L40" i="16"/>
  <c r="L44" i="16"/>
  <c r="M40" i="16"/>
  <c r="M44" i="16"/>
  <c r="N40" i="16"/>
  <c r="N44" i="16"/>
  <c r="O40" i="16"/>
  <c r="O44" i="16"/>
  <c r="O46" i="16"/>
  <c r="O43" i="16"/>
  <c r="O39" i="16"/>
  <c r="O34" i="16"/>
  <c r="D14" i="16"/>
  <c r="D19" i="16"/>
  <c r="D21" i="16"/>
  <c r="E14" i="16"/>
  <c r="E19" i="16"/>
  <c r="E21" i="16"/>
  <c r="F14" i="16"/>
  <c r="F19" i="16"/>
  <c r="F21" i="16"/>
  <c r="G14" i="16"/>
  <c r="G19" i="16"/>
  <c r="G21" i="16"/>
  <c r="H14" i="16"/>
  <c r="H19" i="16"/>
  <c r="H21" i="16"/>
  <c r="I14" i="16"/>
  <c r="I19" i="16"/>
  <c r="I21" i="16"/>
  <c r="J14" i="16"/>
  <c r="J19" i="16"/>
  <c r="J21" i="16"/>
  <c r="K14" i="16"/>
  <c r="K19" i="16"/>
  <c r="K21" i="16"/>
  <c r="L14" i="16"/>
  <c r="L19" i="16"/>
  <c r="L21" i="16"/>
  <c r="M14" i="16"/>
  <c r="M19" i="16"/>
  <c r="M21" i="16"/>
  <c r="N14" i="16"/>
  <c r="N19" i="16"/>
  <c r="N21" i="16"/>
  <c r="O14" i="16"/>
  <c r="O19" i="16"/>
  <c r="O21" i="16"/>
  <c r="O22" i="16"/>
  <c r="O4" i="16"/>
  <c r="C21" i="8"/>
  <c r="C39" i="8"/>
  <c r="C40" i="8"/>
  <c r="C41" i="8"/>
  <c r="C8" i="8"/>
  <c r="C73" i="8"/>
  <c r="C20" i="8"/>
  <c r="C19" i="8"/>
  <c r="C1" i="10"/>
  <c r="D1" i="10"/>
  <c r="E1" i="10"/>
  <c r="F1" i="10"/>
  <c r="G1" i="10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H1" i="10"/>
  <c r="AI1" i="10"/>
  <c r="AJ1" i="10"/>
  <c r="AK1" i="10"/>
  <c r="AL1" i="10"/>
  <c r="AM1" i="10"/>
  <c r="AN1" i="10"/>
  <c r="AO1" i="10"/>
  <c r="AP1" i="10"/>
  <c r="AQ1" i="10"/>
  <c r="AR1" i="10"/>
  <c r="AL49" i="10"/>
  <c r="AM49" i="10"/>
  <c r="AN49" i="10"/>
  <c r="AO49" i="10"/>
  <c r="AP49" i="10"/>
  <c r="AQ49" i="10"/>
  <c r="AR49" i="10"/>
  <c r="B10" i="7"/>
  <c r="B12" i="7"/>
  <c r="B11" i="7"/>
  <c r="G10" i="4"/>
  <c r="G8" i="4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A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F62" i="8"/>
  <c r="F65" i="8"/>
  <c r="F5" i="8"/>
  <c r="F17" i="8"/>
  <c r="F18" i="8"/>
  <c r="F19" i="8"/>
  <c r="F20" i="8"/>
  <c r="F21" i="8"/>
  <c r="F22" i="8"/>
  <c r="F43" i="8"/>
  <c r="F48" i="8"/>
  <c r="F49" i="8"/>
  <c r="F50" i="8"/>
  <c r="F59" i="8"/>
  <c r="F70" i="8"/>
  <c r="F75" i="8"/>
  <c r="F80" i="8"/>
  <c r="F81" i="8"/>
  <c r="F82" i="8"/>
  <c r="F78" i="8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B9" i="15"/>
  <c r="B10" i="15"/>
  <c r="B13" i="15"/>
  <c r="B14" i="15"/>
  <c r="B15" i="15"/>
  <c r="B18" i="15"/>
  <c r="B19" i="15"/>
  <c r="G6" i="8"/>
  <c r="J6" i="8"/>
  <c r="C7" i="8"/>
  <c r="G7" i="8"/>
  <c r="J7" i="8"/>
  <c r="G9" i="8"/>
  <c r="J9" i="8"/>
  <c r="J10" i="8"/>
  <c r="C11" i="8"/>
  <c r="G11" i="8"/>
  <c r="J11" i="8"/>
  <c r="C12" i="8"/>
  <c r="G12" i="8"/>
  <c r="J12" i="8"/>
  <c r="C13" i="8"/>
  <c r="G13" i="8"/>
  <c r="J13" i="8"/>
  <c r="C15" i="8"/>
  <c r="G15" i="8"/>
  <c r="J15" i="8"/>
  <c r="C16" i="8"/>
  <c r="G16" i="8"/>
  <c r="J16" i="8"/>
  <c r="C44" i="8"/>
  <c r="G44" i="8"/>
  <c r="J44" i="8"/>
  <c r="C45" i="8"/>
  <c r="G45" i="8"/>
  <c r="J45" i="8"/>
  <c r="C46" i="8"/>
  <c r="G46" i="8"/>
  <c r="J46" i="8"/>
  <c r="G51" i="8"/>
  <c r="J51" i="8"/>
  <c r="G52" i="8"/>
  <c r="J52" i="8"/>
  <c r="G53" i="8"/>
  <c r="J53" i="8"/>
  <c r="G54" i="8"/>
  <c r="J54" i="8"/>
  <c r="C55" i="8"/>
  <c r="G55" i="8"/>
  <c r="J55" i="8"/>
  <c r="C56" i="8"/>
  <c r="G56" i="8"/>
  <c r="J56" i="8"/>
  <c r="C61" i="8"/>
  <c r="G61" i="8"/>
  <c r="J61" i="8"/>
  <c r="C67" i="8"/>
  <c r="G67" i="8"/>
  <c r="J67" i="8"/>
  <c r="C68" i="8"/>
  <c r="G68" i="8"/>
  <c r="J68" i="8"/>
  <c r="C69" i="8"/>
  <c r="G69" i="8"/>
  <c r="J69" i="8"/>
  <c r="C71" i="8"/>
  <c r="G71" i="8"/>
  <c r="J71" i="8"/>
  <c r="C72" i="8"/>
  <c r="G72" i="8"/>
  <c r="J72" i="8"/>
  <c r="G73" i="8"/>
  <c r="J73" i="8"/>
  <c r="G77" i="8"/>
  <c r="J77" i="8"/>
  <c r="G79" i="8"/>
  <c r="J79" i="8"/>
  <c r="J88" i="8"/>
  <c r="K6" i="8"/>
  <c r="K7" i="8"/>
  <c r="K9" i="8"/>
  <c r="K10" i="8"/>
  <c r="K11" i="8"/>
  <c r="K12" i="8"/>
  <c r="K13" i="8"/>
  <c r="K15" i="8"/>
  <c r="K16" i="8"/>
  <c r="D24" i="8"/>
  <c r="D25" i="8"/>
  <c r="D26" i="8"/>
  <c r="D27" i="8"/>
  <c r="D28" i="8"/>
  <c r="D29" i="8"/>
  <c r="D42" i="8"/>
  <c r="G42" i="8"/>
  <c r="K42" i="8"/>
  <c r="K44" i="8"/>
  <c r="K45" i="8"/>
  <c r="K46" i="8"/>
  <c r="K51" i="8"/>
  <c r="K52" i="8"/>
  <c r="K53" i="8"/>
  <c r="K54" i="8"/>
  <c r="K55" i="8"/>
  <c r="K56" i="8"/>
  <c r="K61" i="8"/>
  <c r="K67" i="8"/>
  <c r="K68" i="8"/>
  <c r="K69" i="8"/>
  <c r="K71" i="8"/>
  <c r="K72" i="8"/>
  <c r="K73" i="8"/>
  <c r="K77" i="8"/>
  <c r="K79" i="8"/>
  <c r="K88" i="8"/>
  <c r="L6" i="8"/>
  <c r="L7" i="8"/>
  <c r="L9" i="8"/>
  <c r="L10" i="8"/>
  <c r="L11" i="8"/>
  <c r="L12" i="8"/>
  <c r="L13" i="8"/>
  <c r="L15" i="8"/>
  <c r="L16" i="8"/>
  <c r="L42" i="8"/>
  <c r="L44" i="8"/>
  <c r="L45" i="8"/>
  <c r="L46" i="8"/>
  <c r="L51" i="8"/>
  <c r="L52" i="8"/>
  <c r="L53" i="8"/>
  <c r="L54" i="8"/>
  <c r="L55" i="8"/>
  <c r="L56" i="8"/>
  <c r="L61" i="8"/>
  <c r="L67" i="8"/>
  <c r="L68" i="8"/>
  <c r="L69" i="8"/>
  <c r="L71" i="8"/>
  <c r="L72" i="8"/>
  <c r="L73" i="8"/>
  <c r="L77" i="8"/>
  <c r="L79" i="8"/>
  <c r="L88" i="8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U55" i="10"/>
  <c r="V55" i="10"/>
  <c r="W55" i="10"/>
  <c r="X55" i="10"/>
  <c r="Y55" i="10"/>
  <c r="Z55" i="10"/>
  <c r="AA55" i="10"/>
  <c r="AB55" i="10"/>
  <c r="AC55" i="10"/>
  <c r="AD55" i="10"/>
  <c r="AE55" i="10"/>
  <c r="AF55" i="10"/>
  <c r="AG55" i="10"/>
  <c r="AH55" i="10"/>
  <c r="AI55" i="10"/>
  <c r="AJ55" i="10"/>
  <c r="AK55" i="10"/>
  <c r="AL55" i="10"/>
  <c r="AM55" i="10"/>
  <c r="AN55" i="10"/>
  <c r="AO55" i="10"/>
  <c r="AP55" i="10"/>
  <c r="AQ55" i="10"/>
  <c r="AR55" i="10"/>
  <c r="C14" i="8"/>
  <c r="C17" i="8"/>
  <c r="C18" i="8"/>
  <c r="C22" i="8"/>
  <c r="C43" i="8"/>
  <c r="C48" i="8"/>
  <c r="G49" i="8"/>
  <c r="G50" i="8"/>
  <c r="C57" i="8"/>
  <c r="C62" i="8"/>
  <c r="C63" i="8"/>
  <c r="C70" i="8"/>
  <c r="F84" i="8"/>
  <c r="G85" i="8"/>
  <c r="G86" i="8"/>
  <c r="F87" i="8"/>
  <c r="N19" i="14"/>
  <c r="N13" i="14"/>
  <c r="N3" i="14"/>
  <c r="N5" i="14"/>
  <c r="N6" i="14"/>
  <c r="N8" i="14"/>
  <c r="M19" i="14"/>
  <c r="M13" i="14"/>
  <c r="M3" i="14"/>
  <c r="M5" i="14"/>
  <c r="M6" i="14"/>
  <c r="M8" i="14"/>
  <c r="L19" i="14"/>
  <c r="L13" i="14"/>
  <c r="L3" i="14"/>
  <c r="L5" i="14"/>
  <c r="L6" i="14"/>
  <c r="L8" i="14"/>
  <c r="K19" i="14"/>
  <c r="K13" i="14"/>
  <c r="K3" i="14"/>
  <c r="K5" i="14"/>
  <c r="K6" i="14"/>
  <c r="K8" i="14"/>
  <c r="J19" i="14"/>
  <c r="J13" i="14"/>
  <c r="J3" i="14"/>
  <c r="J5" i="14"/>
  <c r="J6" i="14"/>
  <c r="J8" i="14"/>
  <c r="I19" i="14"/>
  <c r="I13" i="14"/>
  <c r="I3" i="14"/>
  <c r="I5" i="14"/>
  <c r="I6" i="14"/>
  <c r="I8" i="14"/>
  <c r="I9" i="14"/>
  <c r="I21" i="14"/>
  <c r="H19" i="14"/>
  <c r="H13" i="14"/>
  <c r="H3" i="14"/>
  <c r="H5" i="14"/>
  <c r="H6" i="14"/>
  <c r="H9" i="14"/>
  <c r="H21" i="14"/>
  <c r="G19" i="14"/>
  <c r="G13" i="14"/>
  <c r="G3" i="14"/>
  <c r="G5" i="14"/>
  <c r="G6" i="14"/>
  <c r="G9" i="14"/>
  <c r="G21" i="14"/>
  <c r="F19" i="14"/>
  <c r="F13" i="14"/>
  <c r="F3" i="14"/>
  <c r="F5" i="14"/>
  <c r="F6" i="14"/>
  <c r="F9" i="14"/>
  <c r="F21" i="14"/>
  <c r="E19" i="14"/>
  <c r="E13" i="14"/>
  <c r="E3" i="14"/>
  <c r="E5" i="14"/>
  <c r="E6" i="14"/>
  <c r="E9" i="14"/>
  <c r="E21" i="14"/>
  <c r="D19" i="14"/>
  <c r="D13" i="14"/>
  <c r="D3" i="14"/>
  <c r="D5" i="14"/>
  <c r="D6" i="14"/>
  <c r="D9" i="14"/>
  <c r="D21" i="14"/>
  <c r="C17" i="14"/>
  <c r="C19" i="14"/>
  <c r="B12" i="13"/>
  <c r="C12" i="14"/>
  <c r="C13" i="14"/>
  <c r="C3" i="14"/>
  <c r="C5" i="14"/>
  <c r="C9" i="14"/>
  <c r="C21" i="14"/>
  <c r="C23" i="14"/>
  <c r="D22" i="14"/>
  <c r="D23" i="14"/>
  <c r="E22" i="14"/>
  <c r="E23" i="14"/>
  <c r="F22" i="14"/>
  <c r="F23" i="14"/>
  <c r="G22" i="14"/>
  <c r="G23" i="14"/>
  <c r="H22" i="14"/>
  <c r="H23" i="14"/>
  <c r="I22" i="14"/>
  <c r="I23" i="14"/>
  <c r="J22" i="14"/>
  <c r="Z19" i="14"/>
  <c r="Z13" i="14"/>
  <c r="Z3" i="14"/>
  <c r="Z5" i="14"/>
  <c r="Z6" i="14"/>
  <c r="Z8" i="14"/>
  <c r="Y19" i="14"/>
  <c r="Y13" i="14"/>
  <c r="Y3" i="14"/>
  <c r="Y5" i="14"/>
  <c r="Y6" i="14"/>
  <c r="Y8" i="14"/>
  <c r="X17" i="14"/>
  <c r="X19" i="14"/>
  <c r="X13" i="14"/>
  <c r="X3" i="14"/>
  <c r="X5" i="14"/>
  <c r="X6" i="14"/>
  <c r="X8" i="14"/>
  <c r="W19" i="14"/>
  <c r="W13" i="14"/>
  <c r="W3" i="14"/>
  <c r="W5" i="14"/>
  <c r="W6" i="14"/>
  <c r="W8" i="14"/>
  <c r="V19" i="14"/>
  <c r="V13" i="14"/>
  <c r="V3" i="14"/>
  <c r="V5" i="14"/>
  <c r="V6" i="14"/>
  <c r="V8" i="14"/>
  <c r="U17" i="14"/>
  <c r="U19" i="14"/>
  <c r="U13" i="14"/>
  <c r="U3" i="14"/>
  <c r="U5" i="14"/>
  <c r="U6" i="14"/>
  <c r="U8" i="14"/>
  <c r="T19" i="14"/>
  <c r="T13" i="14"/>
  <c r="T3" i="14"/>
  <c r="T5" i="14"/>
  <c r="T6" i="14"/>
  <c r="T8" i="14"/>
  <c r="S19" i="14"/>
  <c r="S12" i="14"/>
  <c r="S13" i="14"/>
  <c r="S3" i="14"/>
  <c r="S5" i="14"/>
  <c r="S6" i="14"/>
  <c r="S8" i="14"/>
  <c r="R17" i="14"/>
  <c r="R19" i="14"/>
  <c r="R13" i="14"/>
  <c r="R3" i="14"/>
  <c r="R5" i="14"/>
  <c r="R6" i="14"/>
  <c r="R8" i="14"/>
  <c r="Q19" i="14"/>
  <c r="Q13" i="14"/>
  <c r="Q3" i="14"/>
  <c r="Q5" i="14"/>
  <c r="Q6" i="14"/>
  <c r="Q8" i="14"/>
  <c r="P19" i="14"/>
  <c r="P13" i="14"/>
  <c r="P3" i="14"/>
  <c r="P5" i="14"/>
  <c r="P6" i="14"/>
  <c r="P8" i="14"/>
  <c r="O17" i="14"/>
  <c r="O19" i="14"/>
  <c r="O12" i="14"/>
  <c r="O13" i="14"/>
  <c r="O3" i="14"/>
  <c r="O5" i="14"/>
  <c r="O6" i="14"/>
  <c r="O8" i="14"/>
  <c r="AL19" i="14"/>
  <c r="AL13" i="14"/>
  <c r="AL3" i="14"/>
  <c r="AL5" i="14"/>
  <c r="AL6" i="14"/>
  <c r="AL8" i="14"/>
  <c r="AK19" i="14"/>
  <c r="AK13" i="14"/>
  <c r="AK3" i="14"/>
  <c r="AK5" i="14"/>
  <c r="AK6" i="14"/>
  <c r="AK8" i="14"/>
  <c r="AJ17" i="14"/>
  <c r="AJ19" i="14"/>
  <c r="AJ13" i="14"/>
  <c r="AJ3" i="14"/>
  <c r="AJ5" i="14"/>
  <c r="AJ6" i="14"/>
  <c r="AJ8" i="14"/>
  <c r="AI19" i="14"/>
  <c r="AI13" i="14"/>
  <c r="AI3" i="14"/>
  <c r="AI5" i="14"/>
  <c r="AI6" i="14"/>
  <c r="AI8" i="14"/>
  <c r="AH19" i="14"/>
  <c r="AH13" i="14"/>
  <c r="AH3" i="14"/>
  <c r="AH5" i="14"/>
  <c r="AH6" i="14"/>
  <c r="AH8" i="14"/>
  <c r="AG17" i="14"/>
  <c r="AG19" i="14"/>
  <c r="AG13" i="14"/>
  <c r="AG3" i="14"/>
  <c r="AG5" i="14"/>
  <c r="AG6" i="14"/>
  <c r="AG8" i="14"/>
  <c r="AF19" i="14"/>
  <c r="AF13" i="14"/>
  <c r="AF3" i="14"/>
  <c r="AF5" i="14"/>
  <c r="AF6" i="14"/>
  <c r="AF8" i="14"/>
  <c r="AE19" i="14"/>
  <c r="AE13" i="14"/>
  <c r="AE3" i="14"/>
  <c r="AE5" i="14"/>
  <c r="AE6" i="14"/>
  <c r="AE8" i="14"/>
  <c r="AD17" i="14"/>
  <c r="AD19" i="14"/>
  <c r="AD13" i="14"/>
  <c r="AD3" i="14"/>
  <c r="AD5" i="14"/>
  <c r="AD6" i="14"/>
  <c r="AD8" i="14"/>
  <c r="AC19" i="14"/>
  <c r="AC13" i="14"/>
  <c r="AC3" i="14"/>
  <c r="AC5" i="14"/>
  <c r="AC6" i="14"/>
  <c r="AC8" i="14"/>
  <c r="AB19" i="14"/>
  <c r="AB13" i="14"/>
  <c r="AB3" i="14"/>
  <c r="AB5" i="14"/>
  <c r="AB6" i="14"/>
  <c r="AB8" i="14"/>
  <c r="AA17" i="14"/>
  <c r="AA19" i="14"/>
  <c r="AA13" i="14"/>
  <c r="AA3" i="14"/>
  <c r="AA5" i="14"/>
  <c r="AA6" i="14"/>
  <c r="AA8" i="14"/>
  <c r="B6" i="13"/>
  <c r="C6" i="13"/>
  <c r="D6" i="13"/>
  <c r="C12" i="13"/>
  <c r="D12" i="13"/>
  <c r="B13" i="13"/>
  <c r="C13" i="13"/>
  <c r="D13" i="13"/>
  <c r="B15" i="13"/>
  <c r="C15" i="13"/>
  <c r="D15" i="13"/>
  <c r="B21" i="13"/>
  <c r="C21" i="13"/>
  <c r="D21" i="13"/>
  <c r="B23" i="13"/>
  <c r="C23" i="13"/>
  <c r="D23" i="13"/>
  <c r="C26" i="13"/>
  <c r="D26" i="13"/>
  <c r="B27" i="13"/>
  <c r="C27" i="13"/>
  <c r="D27" i="13"/>
  <c r="C30" i="13"/>
  <c r="D30" i="13"/>
  <c r="B31" i="13"/>
  <c r="C31" i="13"/>
  <c r="D31" i="13" s="1"/>
  <c r="D32" i="13" s="1"/>
  <c r="D34" i="13" s="1"/>
  <c r="B32" i="13"/>
  <c r="B34" i="13"/>
  <c r="B20" i="15"/>
  <c r="B23" i="15"/>
  <c r="C32" i="13" l="1"/>
  <c r="C34" i="13" s="1"/>
</calcChain>
</file>

<file path=xl/sharedStrings.xml><?xml version="1.0" encoding="utf-8"?>
<sst xmlns="http://schemas.openxmlformats.org/spreadsheetml/2006/main" count="361" uniqueCount="297">
  <si>
    <t>washdown hose</t>
  </si>
  <si>
    <t>spray nozzles</t>
  </si>
  <si>
    <t>brushes/scrubbies</t>
  </si>
  <si>
    <t>PPE</t>
  </si>
  <si>
    <t>Misc. tools, draft eqpmt, etc.</t>
  </si>
  <si>
    <t>tasting room furniture</t>
  </si>
  <si>
    <t>bar</t>
  </si>
  <si>
    <t>Fixtures</t>
  </si>
  <si>
    <t>Back Bar cooler, draft system, sink</t>
  </si>
  <si>
    <t>Website</t>
  </si>
  <si>
    <t>Graphic Design</t>
  </si>
  <si>
    <t>Printing</t>
  </si>
  <si>
    <t>Glassware</t>
  </si>
  <si>
    <t>Video Camera</t>
  </si>
  <si>
    <t>Software</t>
  </si>
  <si>
    <t>Signage</t>
  </si>
  <si>
    <t>Bottler/capper/labeler</t>
  </si>
  <si>
    <t>OFFICE</t>
  </si>
  <si>
    <t>PROFESSIONAL SERVICES</t>
  </si>
  <si>
    <t>Equipment list</t>
  </si>
  <si>
    <t>Month #</t>
  </si>
  <si>
    <t>Revenue</t>
  </si>
  <si>
    <t>draft sales</t>
  </si>
  <si>
    <t>package sales</t>
  </si>
  <si>
    <t>merch sales</t>
  </si>
  <si>
    <t>Total Revenue</t>
  </si>
  <si>
    <t>Chemicals</t>
  </si>
  <si>
    <t>Merch</t>
  </si>
  <si>
    <t>Operating Expenses</t>
  </si>
  <si>
    <t>Lease</t>
  </si>
  <si>
    <t>phone &amp; internet</t>
  </si>
  <si>
    <t>Marketing and Advertising</t>
  </si>
  <si>
    <t>Travel</t>
  </si>
  <si>
    <t>truck/Fuel</t>
  </si>
  <si>
    <t>Insurance</t>
  </si>
  <si>
    <t>accounting / legal fees</t>
  </si>
  <si>
    <t>Repairs &amp; Maintenance</t>
  </si>
  <si>
    <t>Wages</t>
  </si>
  <si>
    <t>Professional Fees</t>
  </si>
  <si>
    <t>MBAA fees</t>
  </si>
  <si>
    <t>year 2 sales</t>
  </si>
  <si>
    <t xml:space="preserve">Year Added? </t>
    <phoneticPr fontId="2" type="noConversion"/>
  </si>
  <si>
    <t>Y1</t>
    <phoneticPr fontId="2" type="noConversion"/>
  </si>
  <si>
    <t>Y2</t>
    <phoneticPr fontId="2" type="noConversion"/>
  </si>
  <si>
    <t>Expensed</t>
    <phoneticPr fontId="2" type="noConversion"/>
  </si>
  <si>
    <t>Fixed Asset</t>
    <phoneticPr fontId="2" type="noConversion"/>
  </si>
  <si>
    <t>Long Term Liabilities</t>
    <phoneticPr fontId="8" type="noConversion"/>
  </si>
  <si>
    <t>Year 4</t>
    <phoneticPr fontId="8" type="noConversion"/>
  </si>
  <si>
    <t>Principal balance, Day 365</t>
    <phoneticPr fontId="8" type="noConversion"/>
  </si>
  <si>
    <t>Owners' Equity</t>
    <phoneticPr fontId="8" type="noConversion"/>
  </si>
  <si>
    <t>TOTAL LIABILITIES AND OWNERS' EQUITY</t>
    <phoneticPr fontId="8" type="noConversion"/>
  </si>
  <si>
    <t>new growlers</t>
  </si>
  <si>
    <t>growlers</t>
  </si>
  <si>
    <t>pints</t>
  </si>
  <si>
    <t>total draft sales</t>
  </si>
  <si>
    <t>year 1 draft</t>
  </si>
  <si>
    <t>year 2 draft</t>
  </si>
  <si>
    <t>year 3 draft</t>
  </si>
  <si>
    <t>total package sales</t>
  </si>
  <si>
    <t>year 1 package</t>
  </si>
  <si>
    <t>total pub sales</t>
  </si>
  <si>
    <t>year 1 pub</t>
  </si>
  <si>
    <t>year 2 pub</t>
  </si>
  <si>
    <t>year 3 pub</t>
  </si>
  <si>
    <t>total beer sales</t>
  </si>
  <si>
    <t>year 1 merch</t>
  </si>
  <si>
    <t>year 2 merch</t>
  </si>
  <si>
    <t>TOTAL SALES</t>
  </si>
  <si>
    <t>year 1 sales</t>
  </si>
  <si>
    <t>year 3 sales</t>
  </si>
  <si>
    <t>Package</t>
  </si>
  <si>
    <t>Draft</t>
  </si>
  <si>
    <t>FV:1X15 BBL,2X45BBL BT:2x30BBL</t>
  </si>
  <si>
    <t>Cellar vessels</t>
  </si>
  <si>
    <t>Racks</t>
  </si>
  <si>
    <t>Gallons per Barrel</t>
  </si>
  <si>
    <t>1/2 gallon growlers per BBL</t>
  </si>
  <si>
    <t>pints per BBL</t>
  </si>
  <si>
    <t>assets</t>
  </si>
  <si>
    <t>Computer</t>
  </si>
  <si>
    <t>printer, office supplies</t>
  </si>
  <si>
    <t>desk, chairs, etc.</t>
  </si>
  <si>
    <t>architecht</t>
  </si>
  <si>
    <t>Cash Flow from Investing Activities</t>
    <phoneticPr fontId="8" type="noConversion"/>
  </si>
  <si>
    <t>Cash Flow from Financing Activities</t>
    <phoneticPr fontId="8" type="noConversion"/>
  </si>
  <si>
    <t>Net cash provided by operating activities</t>
    <phoneticPr fontId="8" type="noConversion"/>
  </si>
  <si>
    <t>Net cash provided by investing activities</t>
    <phoneticPr fontId="8" type="noConversion"/>
  </si>
  <si>
    <t>attorney</t>
  </si>
  <si>
    <t>construction</t>
  </si>
  <si>
    <t>truck</t>
  </si>
  <si>
    <t>truck graphics</t>
  </si>
  <si>
    <t>malt and hop scales</t>
  </si>
  <si>
    <t>yeast brink</t>
  </si>
  <si>
    <t>filter</t>
  </si>
  <si>
    <t>zahm &amp; Nagel</t>
  </si>
  <si>
    <t>flow meter</t>
  </si>
  <si>
    <t>bulk CO2</t>
  </si>
  <si>
    <t>glycol</t>
  </si>
  <si>
    <t>cooler</t>
  </si>
  <si>
    <t>glycol piping</t>
  </si>
  <si>
    <t>cip pump, cart, vfd</t>
  </si>
  <si>
    <t>1 1/2 " brewline</t>
  </si>
  <si>
    <t>fittings</t>
  </si>
  <si>
    <t>clamps, gaskets</t>
  </si>
  <si>
    <t>forklift</t>
  </si>
  <si>
    <t>Current Assets</t>
  </si>
  <si>
    <t>Cash</t>
  </si>
  <si>
    <t>A/R (net 30)</t>
  </si>
  <si>
    <t>Total Current Assets</t>
  </si>
  <si>
    <t>Fixed (long-term) Assets</t>
  </si>
  <si>
    <t>Property, plant, and equipment</t>
  </si>
  <si>
    <t>(less accumulated depreciation)</t>
  </si>
  <si>
    <t>Total Fixed Assets</t>
  </si>
  <si>
    <t>TOTAL ASSETS</t>
  </si>
  <si>
    <t>Current Liabilites</t>
  </si>
  <si>
    <t>Total current liabilites</t>
  </si>
  <si>
    <t>Long term debt</t>
  </si>
  <si>
    <t>Total Long Term Liabilities</t>
  </si>
  <si>
    <t>Retained Earnings</t>
  </si>
  <si>
    <t>State Taxes</t>
    <phoneticPr fontId="2" type="noConversion"/>
  </si>
  <si>
    <t>Net Income</t>
    <phoneticPr fontId="8" type="noConversion"/>
  </si>
  <si>
    <t>Adjustments to reconcile net income to net cash provided by operating activities:</t>
    <phoneticPr fontId="8" type="noConversion"/>
  </si>
  <si>
    <t>45 bbl Uni FV</t>
  </si>
  <si>
    <t>30 bbl Uni FV</t>
  </si>
  <si>
    <t>30 bbl jacketed BT</t>
  </si>
  <si>
    <t>Brew House</t>
  </si>
  <si>
    <t>qty</t>
  </si>
  <si>
    <t>cost/</t>
  </si>
  <si>
    <t>15 Unil FV</t>
  </si>
  <si>
    <t>15 bbl jacketd BT</t>
  </si>
  <si>
    <t>chiller</t>
  </si>
  <si>
    <t>TASTING ROOM</t>
  </si>
  <si>
    <t>Month</t>
    <phoneticPr fontId="8" type="noConversion"/>
  </si>
  <si>
    <t>Loan Calculation</t>
    <phoneticPr fontId="8" type="noConversion"/>
  </si>
  <si>
    <t>Principal</t>
    <phoneticPr fontId="8" type="noConversion"/>
  </si>
  <si>
    <t>APR</t>
    <phoneticPr fontId="8" type="noConversion"/>
  </si>
  <si>
    <t>Compound Frequency</t>
    <phoneticPr fontId="8" type="noConversion"/>
  </si>
  <si>
    <t>annually, at end of period</t>
    <phoneticPr fontId="8" type="noConversion"/>
  </si>
  <si>
    <t>Year 1</t>
    <phoneticPr fontId="8" type="noConversion"/>
  </si>
  <si>
    <t>Cash Flow from Operating Activities</t>
    <phoneticPr fontId="8" type="noConversion"/>
  </si>
  <si>
    <t>INFRASTRUCTURE / EQUIPMENT</t>
  </si>
  <si>
    <t>BA fees</t>
  </si>
  <si>
    <t>Licensing</t>
  </si>
  <si>
    <t>Brewers Bond</t>
  </si>
  <si>
    <t>State LLC/DBA</t>
  </si>
  <si>
    <t>Principal balance, Day 1</t>
    <phoneticPr fontId="8" type="noConversion"/>
  </si>
  <si>
    <t>Interest</t>
    <phoneticPr fontId="8" type="noConversion"/>
  </si>
  <si>
    <t>Principal balance, Day 365</t>
    <phoneticPr fontId="8" type="noConversion"/>
  </si>
  <si>
    <t>Year 2</t>
    <phoneticPr fontId="8" type="noConversion"/>
  </si>
  <si>
    <t>Interest Paid Y2</t>
    <phoneticPr fontId="8" type="noConversion"/>
  </si>
  <si>
    <t>Principal balance subtotal</t>
    <phoneticPr fontId="8" type="noConversion"/>
  </si>
  <si>
    <t>Year 3</t>
    <phoneticPr fontId="8" type="noConversion"/>
  </si>
  <si>
    <t>Interest Paid Y3</t>
    <phoneticPr fontId="8" type="noConversion"/>
  </si>
  <si>
    <t>Interest, compounded on 12/31</t>
    <phoneticPr fontId="8" type="noConversion"/>
  </si>
  <si>
    <t>Depreciation Rates</t>
    <phoneticPr fontId="2" type="noConversion"/>
  </si>
  <si>
    <t>3 year Asset</t>
    <phoneticPr fontId="2" type="noConversion"/>
  </si>
  <si>
    <t>Y!</t>
    <phoneticPr fontId="2" type="noConversion"/>
  </si>
  <si>
    <t>Y3</t>
    <phoneticPr fontId="2" type="noConversion"/>
  </si>
  <si>
    <t>5 year Asset</t>
    <phoneticPr fontId="2" type="noConversion"/>
  </si>
  <si>
    <t>Y1</t>
    <phoneticPr fontId="2" type="noConversion"/>
  </si>
  <si>
    <t>7 year Asset</t>
    <phoneticPr fontId="2" type="noConversion"/>
  </si>
  <si>
    <t>Y2</t>
    <phoneticPr fontId="2" type="noConversion"/>
  </si>
  <si>
    <t>Y3</t>
    <phoneticPr fontId="2" type="noConversion"/>
  </si>
  <si>
    <t>15 year Asset</t>
    <phoneticPr fontId="2" type="noConversion"/>
  </si>
  <si>
    <t>Y2</t>
    <phoneticPr fontId="2" type="noConversion"/>
  </si>
  <si>
    <t>Y3</t>
    <phoneticPr fontId="2" type="noConversion"/>
  </si>
  <si>
    <t>Total Depreciation</t>
    <phoneticPr fontId="2" type="noConversion"/>
  </si>
  <si>
    <t>Total Y1 Fixed Asset Additions</t>
    <phoneticPr fontId="2" type="noConversion"/>
  </si>
  <si>
    <t>Total Y2 Fixed Asset Additions</t>
    <phoneticPr fontId="2" type="noConversion"/>
  </si>
  <si>
    <t>Balance Sheet Pro Forma</t>
    <phoneticPr fontId="8" type="noConversion"/>
  </si>
  <si>
    <t>Inventory</t>
    <phoneticPr fontId="8" type="noConversion"/>
  </si>
  <si>
    <t>LIABILITIES AND OWNERS' EQUITY</t>
    <phoneticPr fontId="8" type="noConversion"/>
  </si>
  <si>
    <t>current portion of long-term debt (see amortization table)</t>
    <phoneticPr fontId="8" type="noConversion"/>
  </si>
  <si>
    <t>Owners' Investment</t>
    <phoneticPr fontId="8" type="noConversion"/>
  </si>
  <si>
    <t>Total Owners' Equity</t>
    <phoneticPr fontId="8" type="noConversion"/>
  </si>
  <si>
    <t>20X1</t>
    <phoneticPr fontId="8" type="noConversion"/>
  </si>
  <si>
    <t>20X2</t>
    <phoneticPr fontId="8" type="noConversion"/>
  </si>
  <si>
    <t>20X3</t>
    <phoneticPr fontId="8" type="noConversion"/>
  </si>
  <si>
    <t xml:space="preserve">A/P </t>
    <phoneticPr fontId="8" type="noConversion"/>
  </si>
  <si>
    <t>Depreciation</t>
    <phoneticPr fontId="8" type="noConversion"/>
  </si>
  <si>
    <t>(Increase)/Decrease in A/R</t>
    <phoneticPr fontId="8" type="noConversion"/>
  </si>
  <si>
    <t>(Increase)/Decrease in Inventory</t>
    <phoneticPr fontId="8" type="noConversion"/>
  </si>
  <si>
    <t>Increase/(Decrease) in A/P</t>
    <phoneticPr fontId="8" type="noConversion"/>
  </si>
  <si>
    <t>Capital expenditures</t>
    <phoneticPr fontId="8" type="noConversion"/>
  </si>
  <si>
    <t>Proceeds from Issuance of Partner Capital</t>
    <phoneticPr fontId="8" type="noConversion"/>
  </si>
  <si>
    <t>Proceeds from Issuance of Long Term Debt</t>
    <phoneticPr fontId="8" type="noConversion"/>
  </si>
  <si>
    <t>Payments of Long Term Debt</t>
    <phoneticPr fontId="8" type="noConversion"/>
  </si>
  <si>
    <t>Net cash provided by financing activities</t>
    <phoneticPr fontId="8" type="noConversion"/>
  </si>
  <si>
    <t>Increase/(Decrease) in Cash</t>
    <phoneticPr fontId="8" type="noConversion"/>
  </si>
  <si>
    <t>Beginning Cash Balance</t>
    <phoneticPr fontId="8" type="noConversion"/>
  </si>
  <si>
    <t>Ending Cash Balance</t>
    <phoneticPr fontId="8" type="noConversion"/>
  </si>
  <si>
    <t>Total COGS</t>
    <phoneticPr fontId="2" type="noConversion"/>
  </si>
  <si>
    <t>COGS</t>
    <phoneticPr fontId="2" type="noConversion"/>
  </si>
  <si>
    <t>Total Operating Expenses</t>
    <phoneticPr fontId="2" type="noConversion"/>
  </si>
  <si>
    <t>EBITDA</t>
    <phoneticPr fontId="2" type="noConversion"/>
  </si>
  <si>
    <t>Interest</t>
    <phoneticPr fontId="2" type="noConversion"/>
  </si>
  <si>
    <t>Depreciation</t>
    <phoneticPr fontId="2" type="noConversion"/>
  </si>
  <si>
    <t>NET INCOME</t>
    <phoneticPr fontId="2" type="noConversion"/>
  </si>
  <si>
    <t>Asset Life</t>
    <phoneticPr fontId="2" type="noConversion"/>
  </si>
  <si>
    <t>Year 1</t>
    <phoneticPr fontId="2" type="noConversion"/>
  </si>
  <si>
    <t>Year 3</t>
    <phoneticPr fontId="2" type="noConversion"/>
  </si>
  <si>
    <t>Year 2</t>
    <phoneticPr fontId="2" type="noConversion"/>
  </si>
  <si>
    <t>assumption: as of 12/31 of each year</t>
  </si>
  <si>
    <t>ASSETS</t>
  </si>
  <si>
    <t>Per BBL costs</t>
  </si>
  <si>
    <t>per unit</t>
  </si>
  <si>
    <t>per bbl</t>
  </si>
  <si>
    <t>malt/hops</t>
  </si>
  <si>
    <t xml:space="preserve">spec. keg </t>
  </si>
  <si>
    <t>special</t>
  </si>
  <si>
    <t xml:space="preserve">super premium keg </t>
  </si>
  <si>
    <t>super premium</t>
  </si>
  <si>
    <t>CO2</t>
  </si>
  <si>
    <t xml:space="preserve">sixpack </t>
  </si>
  <si>
    <t>spec case</t>
  </si>
  <si>
    <t>spec in 22's</t>
  </si>
  <si>
    <t>Filter Aid</t>
  </si>
  <si>
    <t>spec bottle</t>
  </si>
  <si>
    <t>super premium case</t>
  </si>
  <si>
    <t xml:space="preserve">super premium in 22's </t>
  </si>
  <si>
    <t>super premium bottle</t>
  </si>
  <si>
    <t>total per BBL cost</t>
  </si>
  <si>
    <t xml:space="preserve">new growler </t>
  </si>
  <si>
    <t>growler refill</t>
  </si>
  <si>
    <t xml:space="preserve">pint </t>
  </si>
  <si>
    <t>collars</t>
  </si>
  <si>
    <t>cap</t>
  </si>
  <si>
    <t>total per bbl extra</t>
  </si>
  <si>
    <t>12 oz can</t>
  </si>
  <si>
    <t>canning charge + ends</t>
  </si>
  <si>
    <t>case 12x22 oz bottles</t>
  </si>
  <si>
    <t>caps</t>
  </si>
  <si>
    <t>labels</t>
  </si>
  <si>
    <t>bottling charge</t>
  </si>
  <si>
    <t>case</t>
  </si>
  <si>
    <t>total per new growlers per bbl extra</t>
  </si>
  <si>
    <t>15.5 Gal kegs per BBL</t>
  </si>
  <si>
    <t>12X22 oz cases per BBL</t>
  </si>
  <si>
    <t>22 oz bottles per BBL</t>
  </si>
  <si>
    <t>12 oz cans per bbl</t>
  </si>
  <si>
    <t>12 oz cases (24 cans) per bbl</t>
  </si>
  <si>
    <t>Utilities</t>
  </si>
  <si>
    <t>Kegs</t>
  </si>
  <si>
    <t>water filter</t>
  </si>
  <si>
    <t>brewhouse/tanks</t>
  </si>
  <si>
    <t>15 bbl fv</t>
  </si>
  <si>
    <t>15 bbl bright (jacketed)</t>
  </si>
  <si>
    <t>30 bbl bright</t>
  </si>
  <si>
    <t>30 bbl FV</t>
  </si>
  <si>
    <t>15 bbl brehaus</t>
  </si>
  <si>
    <t>40 bbl HLB</t>
  </si>
  <si>
    <t>Cold Liq Tank</t>
  </si>
  <si>
    <t>?</t>
  </si>
  <si>
    <t>dust collection system</t>
  </si>
  <si>
    <t>spent grain bins</t>
  </si>
  <si>
    <t>boiler</t>
  </si>
  <si>
    <t>BBLs Brewed</t>
  </si>
  <si>
    <t>Yr 1 BBLs Brewed</t>
  </si>
  <si>
    <t>bbls sold</t>
  </si>
  <si>
    <t>spec kegs</t>
  </si>
  <si>
    <t>super pre,iu, kegs</t>
  </si>
  <si>
    <t>total draft in BBLs</t>
  </si>
  <si>
    <t>cans</t>
  </si>
  <si>
    <t>spec bottles</t>
  </si>
  <si>
    <t>total package in BBLs</t>
  </si>
  <si>
    <t>total pub in BBLs</t>
  </si>
  <si>
    <t>total BBLs sold</t>
  </si>
  <si>
    <t>Yr 1 BBLs Sold</t>
  </si>
  <si>
    <t>Year 2 BBLs Brewed</t>
  </si>
  <si>
    <t>Year 2 BBLs Sold</t>
  </si>
  <si>
    <t>Year 3 BBLs Brewed</t>
  </si>
  <si>
    <t>Year 3  BBLs Sold</t>
  </si>
  <si>
    <t>Raw Materials</t>
  </si>
  <si>
    <t>Keg Costs</t>
  </si>
  <si>
    <t>Can Cost</t>
  </si>
  <si>
    <t>Bottle Cost</t>
  </si>
  <si>
    <t>Growler Costs</t>
  </si>
  <si>
    <t>12 oz 6 packs per bbl</t>
  </si>
  <si>
    <t xml:space="preserve">kolsch keg </t>
  </si>
  <si>
    <t>kolsch</t>
  </si>
  <si>
    <t>kolsch sixpack</t>
  </si>
  <si>
    <t>rings</t>
  </si>
  <si>
    <t>kolsch kegs</t>
  </si>
  <si>
    <t>pub sales</t>
  </si>
  <si>
    <t>State Brewers License</t>
  </si>
  <si>
    <t>Guild fees</t>
  </si>
  <si>
    <t>Office expenses</t>
  </si>
  <si>
    <t>Excise Tax</t>
  </si>
  <si>
    <t>Production Payroll</t>
  </si>
  <si>
    <t xml:space="preserve"> Payroll Taxes</t>
  </si>
  <si>
    <t>Workers Comp</t>
  </si>
  <si>
    <t>Benefits</t>
  </si>
  <si>
    <t>Operations Payroll</t>
  </si>
  <si>
    <t>Option A</t>
  </si>
  <si>
    <t>Option B</t>
  </si>
  <si>
    <t>Option C</t>
  </si>
  <si>
    <t>Ending 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</si>
</sst>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;[Red]&quot;$&quot;#,##0.00"/>
    <numFmt numFmtId="166" formatCode="&quot;$&quot;#,##0.00"/>
    <numFmt numFmtId="167" formatCode="&quot;$&quot;#,##0"/>
    <numFmt numFmtId="172" formatCode="_(&quot;$&quot;* #,##0_);_(&quot;$&quot;* \(#,##0\);_(&quot;$&quot;* &quot;-&quot;??_);_(@_)"/>
  </numFmts>
  <fonts count="25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8"/>
      <name val="Helvetica Neue"/>
    </font>
    <font>
      <sz val="11"/>
      <color indexed="8"/>
      <name val="Helvetica Neue"/>
    </font>
    <font>
      <b/>
      <sz val="14"/>
      <name val="Arial"/>
      <family val="2"/>
    </font>
    <font>
      <sz val="10"/>
      <name val="Arial"/>
      <family val="2"/>
    </font>
    <font>
      <sz val="12"/>
      <name val="Calibri Bold"/>
    </font>
    <font>
      <i/>
      <sz val="12"/>
      <name val="Calibri"/>
      <family val="2"/>
    </font>
    <font>
      <sz val="14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/>
    <xf numFmtId="1" fontId="0" fillId="0" borderId="0" xfId="0" applyNumberFormat="1"/>
    <xf numFmtId="2" fontId="0" fillId="0" borderId="0" xfId="0" applyNumberFormat="1"/>
    <xf numFmtId="0" fontId="4" fillId="2" borderId="0" xfId="0" applyFont="1" applyFill="1"/>
    <xf numFmtId="0" fontId="4" fillId="2" borderId="1" xfId="0" applyFont="1" applyFill="1" applyBorder="1"/>
    <xf numFmtId="0" fontId="0" fillId="3" borderId="0" xfId="0" applyFill="1"/>
    <xf numFmtId="165" fontId="0" fillId="0" borderId="0" xfId="0" applyNumberFormat="1"/>
    <xf numFmtId="165" fontId="0" fillId="4" borderId="2" xfId="0" applyNumberFormat="1" applyFill="1" applyBorder="1"/>
    <xf numFmtId="10" fontId="0" fillId="0" borderId="0" xfId="0" applyNumberFormat="1"/>
    <xf numFmtId="166" fontId="0" fillId="0" borderId="0" xfId="0" applyNumberFormat="1"/>
    <xf numFmtId="0" fontId="0" fillId="3" borderId="3" xfId="0" applyFill="1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right"/>
    </xf>
    <xf numFmtId="167" fontId="0" fillId="0" borderId="0" xfId="0" applyNumberFormat="1"/>
    <xf numFmtId="167" fontId="4" fillId="2" borderId="0" xfId="0" applyNumberFormat="1" applyFont="1" applyFill="1"/>
    <xf numFmtId="167" fontId="0" fillId="0" borderId="0" xfId="1" applyNumberFormat="1" applyFont="1"/>
    <xf numFmtId="3" fontId="0" fillId="0" borderId="0" xfId="0" applyNumberFormat="1"/>
    <xf numFmtId="167" fontId="0" fillId="0" borderId="0" xfId="0" applyNumberFormat="1" applyFill="1"/>
    <xf numFmtId="0" fontId="7" fillId="2" borderId="1" xfId="0" applyFont="1" applyFill="1" applyBorder="1"/>
    <xf numFmtId="165" fontId="0" fillId="0" borderId="0" xfId="0" applyNumberFormat="1" applyFill="1"/>
    <xf numFmtId="0" fontId="9" fillId="0" borderId="2" xfId="0" applyNumberFormat="1" applyFont="1" applyFill="1" applyBorder="1" applyAlignment="1"/>
    <xf numFmtId="0" fontId="12" fillId="0" borderId="2" xfId="0" applyNumberFormat="1" applyFont="1" applyBorder="1" applyAlignment="1"/>
    <xf numFmtId="0" fontId="12" fillId="0" borderId="2" xfId="0" applyNumberFormat="1" applyFont="1" applyFill="1" applyBorder="1" applyAlignment="1"/>
    <xf numFmtId="0" fontId="0" fillId="0" borderId="0" xfId="0" applyAlignment="1"/>
    <xf numFmtId="166" fontId="0" fillId="0" borderId="0" xfId="0" applyNumberFormat="1" applyAlignment="1"/>
    <xf numFmtId="4" fontId="0" fillId="0" borderId="0" xfId="0" applyNumberFormat="1" applyAlignment="1"/>
    <xf numFmtId="165" fontId="0" fillId="5" borderId="6" xfId="0" applyNumberFormat="1" applyFill="1" applyBorder="1"/>
    <xf numFmtId="165" fontId="0" fillId="6" borderId="6" xfId="0" applyNumberFormat="1" applyFill="1" applyBorder="1"/>
    <xf numFmtId="0" fontId="3" fillId="0" borderId="5" xfId="0" applyFont="1" applyBorder="1" applyAlignment="1">
      <alignment horizontal="left"/>
    </xf>
    <xf numFmtId="0" fontId="0" fillId="5" borderId="7" xfId="0" applyFill="1" applyBorder="1" applyAlignment="1">
      <alignment horizontal="left"/>
    </xf>
    <xf numFmtId="165" fontId="0" fillId="5" borderId="8" xfId="0" applyNumberForma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10" fontId="0" fillId="7" borderId="12" xfId="0" applyNumberFormat="1" applyFill="1" applyBorder="1"/>
    <xf numFmtId="9" fontId="0" fillId="7" borderId="12" xfId="0" applyNumberFormat="1" applyFill="1" applyBorder="1"/>
    <xf numFmtId="0" fontId="0" fillId="7" borderId="13" xfId="0" applyFill="1" applyBorder="1"/>
    <xf numFmtId="10" fontId="0" fillId="7" borderId="14" xfId="0" applyNumberFormat="1" applyFill="1" applyBorder="1"/>
    <xf numFmtId="0" fontId="16" fillId="0" borderId="0" xfId="0" applyFont="1"/>
    <xf numFmtId="1" fontId="16" fillId="0" borderId="0" xfId="0" applyNumberFormat="1" applyFont="1"/>
    <xf numFmtId="43" fontId="0" fillId="0" borderId="0" xfId="0" applyNumberFormat="1"/>
    <xf numFmtId="43" fontId="16" fillId="0" borderId="0" xfId="0" applyNumberFormat="1" applyFont="1"/>
    <xf numFmtId="0" fontId="10" fillId="0" borderId="6" xfId="0" applyNumberFormat="1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/>
    <xf numFmtId="0" fontId="19" fillId="0" borderId="2" xfId="0" applyNumberFormat="1" applyFont="1" applyFill="1" applyBorder="1" applyAlignment="1"/>
    <xf numFmtId="166" fontId="9" fillId="0" borderId="2" xfId="0" applyNumberFormat="1" applyFont="1" applyFill="1" applyBorder="1" applyAlignment="1"/>
    <xf numFmtId="0" fontId="9" fillId="0" borderId="2" xfId="0" applyNumberFormat="1" applyFont="1" applyFill="1" applyBorder="1" applyAlignment="1">
      <alignment horizontal="left"/>
    </xf>
    <xf numFmtId="8" fontId="9" fillId="0" borderId="2" xfId="0" applyNumberFormat="1" applyFont="1" applyFill="1" applyBorder="1" applyAlignment="1"/>
    <xf numFmtId="0" fontId="19" fillId="0" borderId="2" xfId="0" applyNumberFormat="1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13" fillId="0" borderId="2" xfId="0" applyNumberFormat="1" applyFont="1" applyFill="1" applyBorder="1" applyAlignment="1"/>
    <xf numFmtId="0" fontId="11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0" fontId="0" fillId="0" borderId="0" xfId="0" applyNumberFormat="1"/>
    <xf numFmtId="0" fontId="3" fillId="0" borderId="5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 wrapText="1"/>
    </xf>
    <xf numFmtId="0" fontId="19" fillId="0" borderId="2" xfId="0" applyNumberFormat="1" applyFont="1" applyFill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left"/>
    </xf>
    <xf numFmtId="0" fontId="10" fillId="0" borderId="2" xfId="0" applyNumberFormat="1" applyFont="1" applyBorder="1" applyAlignment="1">
      <alignment wrapText="1"/>
    </xf>
    <xf numFmtId="0" fontId="0" fillId="0" borderId="2" xfId="0" applyFill="1" applyBorder="1" applyAlignment="1"/>
    <xf numFmtId="166" fontId="0" fillId="0" borderId="2" xfId="0" applyNumberFormat="1" applyBorder="1" applyAlignment="1"/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2" xfId="0" applyFill="1" applyBorder="1" applyAlignment="1">
      <alignment wrapText="1"/>
    </xf>
    <xf numFmtId="0" fontId="14" fillId="0" borderId="2" xfId="0" applyFont="1" applyBorder="1" applyAlignment="1"/>
    <xf numFmtId="166" fontId="14" fillId="0" borderId="2" xfId="0" applyNumberFormat="1" applyFont="1" applyBorder="1" applyAlignment="1"/>
    <xf numFmtId="4" fontId="14" fillId="0" borderId="2" xfId="0" applyNumberFormat="1" applyFont="1" applyBorder="1" applyAlignment="1"/>
    <xf numFmtId="0" fontId="15" fillId="0" borderId="2" xfId="0" applyFont="1" applyBorder="1" applyAlignment="1"/>
    <xf numFmtId="0" fontId="21" fillId="0" borderId="2" xfId="0" applyFont="1" applyFill="1" applyBorder="1" applyAlignment="1"/>
    <xf numFmtId="0" fontId="21" fillId="0" borderId="2" xfId="0" applyFont="1" applyBorder="1" applyAlignment="1"/>
    <xf numFmtId="166" fontId="10" fillId="0" borderId="2" xfId="0" applyNumberFormat="1" applyFont="1" applyFill="1" applyBorder="1" applyAlignment="1"/>
    <xf numFmtId="166" fontId="10" fillId="0" borderId="2" xfId="0" applyNumberFormat="1" applyFont="1" applyBorder="1" applyAlignment="1"/>
    <xf numFmtId="0" fontId="24" fillId="0" borderId="0" xfId="0" applyFont="1" applyFill="1"/>
    <xf numFmtId="0" fontId="0" fillId="0" borderId="1" xfId="0" applyFill="1" applyBorder="1"/>
    <xf numFmtId="165" fontId="24" fillId="0" borderId="0" xfId="0" applyNumberFormat="1" applyFont="1" applyFill="1"/>
    <xf numFmtId="44" fontId="0" fillId="0" borderId="0" xfId="1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left"/>
    </xf>
    <xf numFmtId="44" fontId="24" fillId="0" borderId="0" xfId="1" applyFont="1" applyFill="1"/>
    <xf numFmtId="0" fontId="0" fillId="0" borderId="1" xfId="0" applyBorder="1"/>
    <xf numFmtId="44" fontId="0" fillId="0" borderId="0" xfId="1" applyFont="1"/>
    <xf numFmtId="0" fontId="23" fillId="0" borderId="0" xfId="0" applyFont="1"/>
    <xf numFmtId="44" fontId="23" fillId="0" borderId="0" xfId="1" applyFont="1"/>
    <xf numFmtId="44" fontId="0" fillId="0" borderId="0" xfId="0" applyNumberFormat="1" applyFill="1"/>
    <xf numFmtId="172" fontId="0" fillId="0" borderId="0" xfId="1" applyNumberFormat="1" applyFont="1"/>
    <xf numFmtId="172" fontId="0" fillId="0" borderId="0" xfId="0" applyNumberFormat="1"/>
    <xf numFmtId="172" fontId="0" fillId="0" borderId="1" xfId="1" applyNumberFormat="1" applyFont="1" applyBorder="1"/>
    <xf numFmtId="0" fontId="4" fillId="0" borderId="1" xfId="0" applyFont="1" applyFill="1" applyBorder="1"/>
    <xf numFmtId="0" fontId="4" fillId="0" borderId="0" xfId="0" applyFont="1" applyFill="1"/>
    <xf numFmtId="0" fontId="16" fillId="0" borderId="0" xfId="0" applyFont="1" applyFill="1"/>
    <xf numFmtId="0" fontId="23" fillId="0" borderId="0" xfId="0" applyFont="1" applyFill="1"/>
    <xf numFmtId="0" fontId="0" fillId="0" borderId="2" xfId="0" applyFill="1" applyBorder="1"/>
    <xf numFmtId="165" fontId="0" fillId="0" borderId="0" xfId="0" applyNumberFormat="1" applyFill="1" applyAlignment="1">
      <alignment horizontal="right"/>
    </xf>
    <xf numFmtId="165" fontId="0" fillId="0" borderId="2" xfId="0" applyNumberFormat="1" applyFill="1" applyBorder="1"/>
    <xf numFmtId="165" fontId="0" fillId="0" borderId="7" xfId="0" applyNumberFormat="1" applyFill="1" applyBorder="1"/>
    <xf numFmtId="165" fontId="0" fillId="0" borderId="15" xfId="0" applyNumberFormat="1" applyFill="1" applyBorder="1"/>
    <xf numFmtId="0" fontId="6" fillId="0" borderId="5" xfId="0" applyFont="1" applyBorder="1" applyAlignment="1">
      <alignment horizontal="right"/>
    </xf>
    <xf numFmtId="166" fontId="0" fillId="0" borderId="2" xfId="0" applyNumberFormat="1" applyFill="1" applyBorder="1" applyAlignment="1"/>
    <xf numFmtId="4" fontId="0" fillId="0" borderId="2" xfId="0" applyNumberFormat="1" applyFill="1" applyBorder="1" applyAlignment="1"/>
    <xf numFmtId="2" fontId="0" fillId="0" borderId="0" xfId="0" applyNumberFormat="1" applyFill="1"/>
    <xf numFmtId="166" fontId="0" fillId="0" borderId="0" xfId="0" applyNumberFormat="1" applyFill="1"/>
    <xf numFmtId="0" fontId="5" fillId="0" borderId="1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18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22" fillId="0" borderId="2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0" fillId="0" borderId="19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Radix\Users\genoa\Dropbox\_Radix\_Clients\COM13%20Commons,%20The\COM13%20Commons,%20The\Accounting%20Projects\Projected%20Financial%20Statements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Pearman\DOCUME~1\Drafts%20Folder\Client\54-40%20-%2010020\2014%20and%20prior\2014\54-40%20start%20up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2015 P&amp;L"/>
      <sheetName val="2013-2015 Cash Flow"/>
      <sheetName val="2013-2015 Balance Sheet "/>
      <sheetName val="Production"/>
      <sheetName val="Inventory"/>
      <sheetName val="Cost of Goods Sold Schedu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profit and loss"/>
      <sheetName val="start up cocts"/>
      <sheetName val="reference"/>
      <sheetName val="cogs and revenue"/>
      <sheetName val="YEAR 1 sales forcast"/>
      <sheetName val="YEAR 1 projected cash flow"/>
      <sheetName val="Sheet1"/>
      <sheetName val="YEAR 2 sales forcast"/>
      <sheetName val="YEAR 2 projected cash flow"/>
      <sheetName val="YEAR 3 sales forcast"/>
      <sheetName val="YEAR 3 projected cash flow"/>
    </sheetNames>
    <sheetDataSet>
      <sheetData sheetId="0" refreshError="1"/>
      <sheetData sheetId="1" refreshError="1"/>
      <sheetData sheetId="2" refreshError="1">
        <row r="5">
          <cell r="C5">
            <v>15</v>
          </cell>
        </row>
        <row r="6">
          <cell r="C6">
            <v>62</v>
          </cell>
        </row>
        <row r="11">
          <cell r="C11">
            <v>55.111111111111114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H31" sqref="H31"/>
    </sheetView>
  </sheetViews>
  <sheetFormatPr defaultColWidth="12.42578125" defaultRowHeight="12.75"/>
  <cols>
    <col min="1" max="1" width="26.140625" bestFit="1" customWidth="1"/>
    <col min="2" max="2" width="6.5703125" bestFit="1" customWidth="1"/>
  </cols>
  <sheetData>
    <row r="2" spans="1:2">
      <c r="A2" t="s">
        <v>75</v>
      </c>
      <c r="B2">
        <v>31</v>
      </c>
    </row>
    <row r="3" spans="1:2">
      <c r="A3" t="s">
        <v>236</v>
      </c>
      <c r="B3">
        <v>2</v>
      </c>
    </row>
    <row r="5" spans="1:2">
      <c r="A5" t="s">
        <v>237</v>
      </c>
      <c r="B5">
        <v>15</v>
      </c>
    </row>
    <row r="6" spans="1:2">
      <c r="A6" t="s">
        <v>76</v>
      </c>
      <c r="B6">
        <v>62</v>
      </c>
    </row>
    <row r="7" spans="1:2">
      <c r="A7" t="s">
        <v>238</v>
      </c>
      <c r="B7">
        <v>180</v>
      </c>
    </row>
    <row r="8" spans="1:2">
      <c r="A8" t="s">
        <v>77</v>
      </c>
      <c r="B8">
        <v>120</v>
      </c>
    </row>
    <row r="10" spans="1:2">
      <c r="A10" t="s">
        <v>239</v>
      </c>
      <c r="B10" s="3">
        <f>(31*128)/12</f>
        <v>330.66666666666669</v>
      </c>
    </row>
    <row r="11" spans="1:2">
      <c r="A11" t="s">
        <v>277</v>
      </c>
      <c r="B11" s="3">
        <f>B10/6</f>
        <v>55.111111111111114</v>
      </c>
    </row>
    <row r="12" spans="1:2">
      <c r="A12" t="s">
        <v>240</v>
      </c>
      <c r="B12" s="3">
        <f>B10/24</f>
        <v>13.777777777777779</v>
      </c>
    </row>
  </sheetData>
  <phoneticPr fontId="2" type="noConversion"/>
  <pageMargins left="0.75" right="0.75" top="1" bottom="1" header="0.5" footer="0.5"/>
  <pageSetup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workbookViewId="0">
      <selection activeCell="D24" sqref="D24"/>
    </sheetView>
  </sheetViews>
  <sheetFormatPr defaultColWidth="12.42578125" defaultRowHeight="15"/>
  <cols>
    <col min="1" max="1" width="4.42578125" style="1" customWidth="1"/>
    <col min="2" max="2" width="25.28515625" style="1" bestFit="1" customWidth="1"/>
    <col min="3" max="3" width="9" style="78" customWidth="1"/>
    <col min="4" max="4" width="6" style="1" customWidth="1"/>
    <col min="5" max="5" width="22.42578125" style="1" bestFit="1" customWidth="1"/>
    <col min="6" max="7" width="12.42578125" style="1"/>
    <col min="8" max="8" width="3" style="1" customWidth="1"/>
    <col min="9" max="16384" width="12.42578125" style="1"/>
  </cols>
  <sheetData>
    <row r="2" spans="2:9">
      <c r="B2" s="79" t="s">
        <v>204</v>
      </c>
      <c r="E2" s="79" t="s">
        <v>21</v>
      </c>
      <c r="F2" s="1" t="s">
        <v>205</v>
      </c>
      <c r="G2" s="1" t="s">
        <v>206</v>
      </c>
    </row>
    <row r="3" spans="2:9">
      <c r="B3" s="1" t="s">
        <v>207</v>
      </c>
      <c r="C3" s="80">
        <v>45</v>
      </c>
      <c r="E3" s="1" t="s">
        <v>278</v>
      </c>
      <c r="F3" s="80">
        <v>95</v>
      </c>
      <c r="G3" s="81">
        <f>F3*2</f>
        <v>190</v>
      </c>
      <c r="I3" s="1" t="s">
        <v>279</v>
      </c>
    </row>
    <row r="4" spans="2:9">
      <c r="C4" s="80"/>
      <c r="E4" s="1" t="s">
        <v>208</v>
      </c>
      <c r="F4" s="80">
        <v>105</v>
      </c>
      <c r="G4" s="81">
        <f>F4*2</f>
        <v>210</v>
      </c>
      <c r="I4" s="1" t="s">
        <v>209</v>
      </c>
    </row>
    <row r="5" spans="2:9">
      <c r="C5" s="80"/>
      <c r="E5" s="1" t="s">
        <v>210</v>
      </c>
      <c r="F5" s="80">
        <v>135</v>
      </c>
      <c r="G5" s="81">
        <f>F5*2</f>
        <v>270</v>
      </c>
      <c r="I5" s="1" t="s">
        <v>211</v>
      </c>
    </row>
    <row r="6" spans="2:9">
      <c r="B6" s="1" t="s">
        <v>212</v>
      </c>
      <c r="C6" s="80">
        <v>1</v>
      </c>
      <c r="E6" s="1" t="s">
        <v>213</v>
      </c>
      <c r="F6" s="80">
        <v>4.75</v>
      </c>
      <c r="G6" s="81">
        <f>F6*[2]reference!C5</f>
        <v>71.25</v>
      </c>
      <c r="I6" s="1" t="s">
        <v>280</v>
      </c>
    </row>
    <row r="7" spans="2:9">
      <c r="B7" s="1" t="s">
        <v>26</v>
      </c>
      <c r="C7" s="80">
        <v>0.6</v>
      </c>
      <c r="E7" s="1" t="s">
        <v>214</v>
      </c>
      <c r="F7" s="80">
        <f>F8*12</f>
        <v>29.400000000000002</v>
      </c>
      <c r="G7" s="81">
        <f>F7*15</f>
        <v>441.00000000000006</v>
      </c>
      <c r="I7" s="1" t="s">
        <v>215</v>
      </c>
    </row>
    <row r="8" spans="2:9">
      <c r="B8" s="1" t="s">
        <v>216</v>
      </c>
      <c r="C8" s="80">
        <v>0.55000000000000004</v>
      </c>
      <c r="E8" s="1" t="s">
        <v>217</v>
      </c>
      <c r="F8" s="80">
        <v>2.4500000000000002</v>
      </c>
      <c r="G8" s="81">
        <f>F8*180</f>
        <v>441.00000000000006</v>
      </c>
      <c r="I8" s="1" t="s">
        <v>215</v>
      </c>
    </row>
    <row r="9" spans="2:9">
      <c r="C9" s="80"/>
      <c r="E9" s="1" t="s">
        <v>218</v>
      </c>
      <c r="F9" s="80">
        <f>F10*12</f>
        <v>72</v>
      </c>
      <c r="G9" s="81">
        <f>F9*15</f>
        <v>1080</v>
      </c>
      <c r="I9" s="1" t="s">
        <v>219</v>
      </c>
    </row>
    <row r="10" spans="2:9">
      <c r="C10" s="80"/>
      <c r="E10" s="1" t="s">
        <v>220</v>
      </c>
      <c r="F10" s="80">
        <v>6</v>
      </c>
      <c r="G10" s="81">
        <f>F10*180</f>
        <v>1080</v>
      </c>
      <c r="I10" s="1" t="s">
        <v>219</v>
      </c>
    </row>
    <row r="11" spans="2:9">
      <c r="B11" s="82" t="s">
        <v>221</v>
      </c>
      <c r="C11" s="80">
        <f>SUM(C3:C10)</f>
        <v>47.15</v>
      </c>
      <c r="E11" s="1" t="s">
        <v>222</v>
      </c>
      <c r="F11" s="80">
        <v>15</v>
      </c>
      <c r="G11" s="81">
        <f>F11*62</f>
        <v>930</v>
      </c>
    </row>
    <row r="12" spans="2:9">
      <c r="C12" s="80"/>
      <c r="E12" s="1" t="s">
        <v>223</v>
      </c>
      <c r="F12" s="80">
        <v>12</v>
      </c>
      <c r="G12" s="81">
        <f>F12*62</f>
        <v>744</v>
      </c>
    </row>
    <row r="13" spans="2:9">
      <c r="B13" s="79" t="s">
        <v>71</v>
      </c>
      <c r="C13" s="80"/>
      <c r="E13" s="1" t="s">
        <v>224</v>
      </c>
      <c r="F13" s="80">
        <v>4.75</v>
      </c>
      <c r="G13" s="81">
        <f>F13*120</f>
        <v>570</v>
      </c>
    </row>
    <row r="14" spans="2:9">
      <c r="B14" s="83" t="s">
        <v>225</v>
      </c>
      <c r="C14" s="80">
        <v>0.75</v>
      </c>
    </row>
    <row r="15" spans="2:9">
      <c r="B15" s="83" t="s">
        <v>226</v>
      </c>
      <c r="C15" s="80">
        <v>0.06</v>
      </c>
    </row>
    <row r="16" spans="2:9">
      <c r="B16" s="82" t="s">
        <v>227</v>
      </c>
      <c r="C16" s="80">
        <f>(SUM(C14:C15))*2</f>
        <v>1.62</v>
      </c>
    </row>
    <row r="17" spans="2:6">
      <c r="C17" s="80"/>
    </row>
    <row r="18" spans="2:6">
      <c r="B18" s="84" t="s">
        <v>70</v>
      </c>
      <c r="C18" s="80"/>
    </row>
    <row r="19" spans="2:6">
      <c r="B19" s="83" t="s">
        <v>228</v>
      </c>
      <c r="C19" s="85">
        <v>0.19375000000000001</v>
      </c>
    </row>
    <row r="20" spans="2:6">
      <c r="B20" s="83"/>
      <c r="C20" s="85"/>
    </row>
    <row r="21" spans="2:6">
      <c r="B21" s="83" t="s">
        <v>229</v>
      </c>
      <c r="C21" s="85">
        <v>0.14582999999999999</v>
      </c>
      <c r="E21" s="83"/>
      <c r="F21" s="23"/>
    </row>
    <row r="22" spans="2:6">
      <c r="B22" s="83" t="s">
        <v>281</v>
      </c>
      <c r="C22" s="85">
        <v>5.2083299999999999E-2</v>
      </c>
      <c r="E22" s="83"/>
      <c r="F22" s="23"/>
    </row>
    <row r="23" spans="2:6">
      <c r="B23" s="82" t="s">
        <v>227</v>
      </c>
      <c r="C23" s="85">
        <f>(SUM(C19:C22))*[2]reference!C11</f>
        <v>21.584999644444444</v>
      </c>
      <c r="E23" s="82"/>
      <c r="F23" s="23"/>
    </row>
    <row r="24" spans="2:6">
      <c r="B24" s="82"/>
      <c r="C24" s="80"/>
    </row>
    <row r="25" spans="2:6">
      <c r="B25" s="83" t="s">
        <v>230</v>
      </c>
      <c r="C25" s="80">
        <v>5.75</v>
      </c>
    </row>
    <row r="26" spans="2:6">
      <c r="B26" s="83" t="s">
        <v>231</v>
      </c>
      <c r="C26" s="80">
        <v>0.13</v>
      </c>
    </row>
    <row r="27" spans="2:6">
      <c r="B27" s="83" t="s">
        <v>232</v>
      </c>
      <c r="C27" s="80">
        <v>0.65</v>
      </c>
    </row>
    <row r="28" spans="2:6">
      <c r="B28" s="83" t="s">
        <v>233</v>
      </c>
      <c r="C28" s="80">
        <v>2.25</v>
      </c>
    </row>
    <row r="29" spans="2:6">
      <c r="B29" s="83" t="s">
        <v>234</v>
      </c>
      <c r="C29" s="80"/>
    </row>
    <row r="30" spans="2:6">
      <c r="B30" s="82" t="s">
        <v>227</v>
      </c>
      <c r="C30" s="80">
        <f>(SUM(C25:C29))*[2]reference!C5</f>
        <v>131.70000000000002</v>
      </c>
    </row>
    <row r="31" spans="2:6">
      <c r="B31" s="83"/>
      <c r="C31" s="85"/>
    </row>
    <row r="32" spans="2:6">
      <c r="B32" s="83" t="s">
        <v>52</v>
      </c>
      <c r="C32" s="80">
        <v>3</v>
      </c>
    </row>
    <row r="33" spans="2:3">
      <c r="B33" s="83" t="s">
        <v>231</v>
      </c>
      <c r="C33" s="80">
        <v>0.2</v>
      </c>
    </row>
    <row r="34" spans="2:3">
      <c r="B34" s="82" t="s">
        <v>235</v>
      </c>
      <c r="C34" s="80">
        <f>(SUM(C32:C33))*[2]reference!C6</f>
        <v>198.4</v>
      </c>
    </row>
    <row r="35" spans="2:3">
      <c r="B35" s="82"/>
      <c r="C35" s="80"/>
    </row>
    <row r="36" spans="2:3">
      <c r="B36" s="83"/>
      <c r="C36" s="80"/>
    </row>
    <row r="37" spans="2:3">
      <c r="B37" s="83"/>
      <c r="C37" s="80"/>
    </row>
    <row r="38" spans="2:3">
      <c r="B38" s="83"/>
      <c r="C38" s="80"/>
    </row>
    <row r="39" spans="2:3">
      <c r="B39" s="83"/>
      <c r="C39" s="80"/>
    </row>
    <row r="40" spans="2:3">
      <c r="B40" s="83"/>
      <c r="C40" s="80"/>
    </row>
    <row r="41" spans="2:3">
      <c r="B41" s="82"/>
      <c r="C41" s="80"/>
    </row>
  </sheetData>
  <phoneticPr fontId="2" type="noConversion"/>
  <pageMargins left="0.75" right="0.75" top="1" bottom="1" header="0.5" footer="0.5"/>
  <pageSetup orientation="portrait" horizontalDpi="4294967293" verticalDpi="429496729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opLeftCell="A37" workbookViewId="0">
      <selection activeCell="AM48" sqref="AM48"/>
    </sheetView>
  </sheetViews>
  <sheetFormatPr defaultColWidth="11.7109375" defaultRowHeight="12.75"/>
  <cols>
    <col min="1" max="1" width="4.85546875" style="1" customWidth="1"/>
    <col min="2" max="2" width="23.7109375" style="1" customWidth="1"/>
    <col min="3" max="14" width="11.7109375" style="1" customWidth="1"/>
    <col min="15" max="15" width="14.42578125" style="1" bestFit="1" customWidth="1"/>
    <col min="16" max="39" width="11.7109375" style="1" customWidth="1"/>
    <col min="40" max="51" width="8.85546875" style="1" customWidth="1"/>
    <col min="52" max="232" width="12.42578125" style="1" customWidth="1"/>
    <col min="233" max="233" width="4.85546875" style="1" customWidth="1"/>
    <col min="234" max="234" width="23.7109375" style="1" customWidth="1"/>
    <col min="235" max="246" width="11.7109375" style="1" customWidth="1"/>
    <col min="247" max="247" width="14.42578125" style="1" bestFit="1" customWidth="1"/>
    <col min="248" max="16384" width="11.7109375" style="1"/>
  </cols>
  <sheetData>
    <row r="1" spans="1:256" ht="15">
      <c r="B1" s="97"/>
    </row>
    <row r="2" spans="1:256">
      <c r="A2" s="79"/>
      <c r="B2" s="79" t="s">
        <v>20</v>
      </c>
      <c r="C2" s="79">
        <v>0</v>
      </c>
      <c r="D2" s="79">
        <v>1</v>
      </c>
      <c r="E2" s="79">
        <f>D2+1</f>
        <v>2</v>
      </c>
      <c r="F2" s="79">
        <f t="shared" ref="F2:O2" si="0">E2+1</f>
        <v>3</v>
      </c>
      <c r="G2" s="79">
        <f t="shared" si="0"/>
        <v>4</v>
      </c>
      <c r="H2" s="79">
        <f t="shared" si="0"/>
        <v>5</v>
      </c>
      <c r="I2" s="79">
        <f t="shared" si="0"/>
        <v>6</v>
      </c>
      <c r="J2" s="79">
        <f t="shared" si="0"/>
        <v>7</v>
      </c>
      <c r="K2" s="79">
        <f t="shared" si="0"/>
        <v>8</v>
      </c>
      <c r="L2" s="79">
        <f t="shared" si="0"/>
        <v>9</v>
      </c>
      <c r="M2" s="79">
        <f t="shared" si="0"/>
        <v>10</v>
      </c>
      <c r="N2" s="79">
        <f t="shared" si="0"/>
        <v>11</v>
      </c>
      <c r="O2" s="79">
        <f t="shared" si="0"/>
        <v>12</v>
      </c>
      <c r="P2" s="79">
        <f t="shared" ref="P2:AM2" si="1">O2+1</f>
        <v>13</v>
      </c>
      <c r="Q2" s="79">
        <f t="shared" si="1"/>
        <v>14</v>
      </c>
      <c r="R2" s="79">
        <f t="shared" si="1"/>
        <v>15</v>
      </c>
      <c r="S2" s="79">
        <f t="shared" si="1"/>
        <v>16</v>
      </c>
      <c r="T2" s="79">
        <f t="shared" si="1"/>
        <v>17</v>
      </c>
      <c r="U2" s="79">
        <f t="shared" si="1"/>
        <v>18</v>
      </c>
      <c r="V2" s="79">
        <f t="shared" si="1"/>
        <v>19</v>
      </c>
      <c r="W2" s="79">
        <f t="shared" si="1"/>
        <v>20</v>
      </c>
      <c r="X2" s="79">
        <f t="shared" si="1"/>
        <v>21</v>
      </c>
      <c r="Y2" s="79">
        <f t="shared" si="1"/>
        <v>22</v>
      </c>
      <c r="Z2" s="79">
        <f t="shared" si="1"/>
        <v>23</v>
      </c>
      <c r="AA2" s="79">
        <f t="shared" si="1"/>
        <v>24</v>
      </c>
      <c r="AB2" s="79">
        <f t="shared" si="1"/>
        <v>25</v>
      </c>
      <c r="AC2" s="79">
        <f t="shared" si="1"/>
        <v>26</v>
      </c>
      <c r="AD2" s="79">
        <f t="shared" si="1"/>
        <v>27</v>
      </c>
      <c r="AE2" s="79">
        <f t="shared" si="1"/>
        <v>28</v>
      </c>
      <c r="AF2" s="79">
        <f t="shared" si="1"/>
        <v>29</v>
      </c>
      <c r="AG2" s="79">
        <f t="shared" si="1"/>
        <v>30</v>
      </c>
      <c r="AH2" s="79">
        <f t="shared" si="1"/>
        <v>31</v>
      </c>
      <c r="AI2" s="79">
        <f t="shared" si="1"/>
        <v>32</v>
      </c>
      <c r="AJ2" s="79">
        <f t="shared" si="1"/>
        <v>33</v>
      </c>
      <c r="AK2" s="79">
        <f t="shared" si="1"/>
        <v>34</v>
      </c>
      <c r="AL2" s="79">
        <f t="shared" si="1"/>
        <v>35</v>
      </c>
      <c r="AM2" s="79">
        <f t="shared" si="1"/>
        <v>36</v>
      </c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256" ht="15">
      <c r="B3" s="82" t="s">
        <v>256</v>
      </c>
      <c r="C3" s="78">
        <v>50</v>
      </c>
      <c r="D3" s="78">
        <v>60</v>
      </c>
      <c r="E3" s="78">
        <v>100</v>
      </c>
      <c r="F3" s="78">
        <v>105</v>
      </c>
      <c r="G3" s="78">
        <v>100</v>
      </c>
      <c r="H3" s="78">
        <v>115</v>
      </c>
      <c r="I3" s="78">
        <v>115</v>
      </c>
      <c r="J3" s="78">
        <v>120</v>
      </c>
      <c r="K3" s="78">
        <v>120</v>
      </c>
      <c r="L3" s="78">
        <v>120</v>
      </c>
      <c r="M3" s="78">
        <v>125</v>
      </c>
      <c r="N3" s="78">
        <v>135</v>
      </c>
      <c r="O3" s="78">
        <v>150</v>
      </c>
      <c r="P3" s="78">
        <v>150</v>
      </c>
      <c r="Q3" s="78">
        <v>180</v>
      </c>
      <c r="R3" s="78">
        <v>180</v>
      </c>
      <c r="S3" s="78">
        <v>185</v>
      </c>
      <c r="T3" s="78">
        <v>200</v>
      </c>
      <c r="U3" s="78">
        <v>225</v>
      </c>
      <c r="V3" s="78">
        <v>235</v>
      </c>
      <c r="W3" s="78">
        <v>240</v>
      </c>
      <c r="X3" s="78">
        <v>255</v>
      </c>
      <c r="Y3" s="78">
        <v>260</v>
      </c>
      <c r="Z3" s="78">
        <v>260</v>
      </c>
      <c r="AA3" s="78">
        <v>260</v>
      </c>
      <c r="AB3" s="78">
        <v>250</v>
      </c>
      <c r="AC3" s="78">
        <v>250</v>
      </c>
      <c r="AD3" s="78">
        <v>255</v>
      </c>
      <c r="AE3" s="78">
        <v>275</v>
      </c>
      <c r="AF3" s="78">
        <v>275</v>
      </c>
      <c r="AG3" s="78">
        <v>325</v>
      </c>
      <c r="AH3" s="78">
        <v>325</v>
      </c>
      <c r="AI3" s="78">
        <v>335</v>
      </c>
      <c r="AJ3" s="78">
        <v>350</v>
      </c>
      <c r="AK3" s="78">
        <v>350</v>
      </c>
      <c r="AL3" s="78">
        <v>350</v>
      </c>
      <c r="AM3" s="78">
        <v>365</v>
      </c>
    </row>
    <row r="4" spans="1:256">
      <c r="N4" s="82" t="s">
        <v>257</v>
      </c>
      <c r="O4" s="98">
        <f>SUM(C3:O3)</f>
        <v>1415</v>
      </c>
      <c r="Z4" s="82" t="s">
        <v>268</v>
      </c>
      <c r="AA4" s="98">
        <f>SUM(P3:AA3)</f>
        <v>2630</v>
      </c>
      <c r="AL4" s="82" t="s">
        <v>270</v>
      </c>
      <c r="AM4" s="98">
        <f>SUM(AB3:AM3)</f>
        <v>3705</v>
      </c>
    </row>
    <row r="5" spans="1:256">
      <c r="B5" s="82" t="s">
        <v>258</v>
      </c>
    </row>
    <row r="6" spans="1:256">
      <c r="B6" s="1" t="s">
        <v>282</v>
      </c>
      <c r="D6" s="1">
        <v>20</v>
      </c>
      <c r="E6" s="1">
        <v>30</v>
      </c>
      <c r="F6" s="1">
        <v>50</v>
      </c>
      <c r="G6" s="1">
        <v>50</v>
      </c>
      <c r="H6" s="1">
        <v>50</v>
      </c>
      <c r="I6" s="1">
        <v>45</v>
      </c>
      <c r="J6" s="1">
        <v>40</v>
      </c>
      <c r="K6" s="1">
        <v>45</v>
      </c>
      <c r="L6" s="1">
        <v>50</v>
      </c>
      <c r="M6" s="1">
        <v>50</v>
      </c>
      <c r="N6" s="1">
        <v>50</v>
      </c>
      <c r="O6" s="1">
        <v>50</v>
      </c>
      <c r="P6" s="1">
        <v>70</v>
      </c>
      <c r="Q6" s="1">
        <v>75</v>
      </c>
      <c r="R6" s="1">
        <v>80</v>
      </c>
      <c r="S6" s="1">
        <v>85</v>
      </c>
      <c r="T6" s="1">
        <v>90</v>
      </c>
      <c r="U6" s="1">
        <v>90</v>
      </c>
      <c r="V6" s="1">
        <v>95</v>
      </c>
      <c r="W6" s="1">
        <v>90</v>
      </c>
      <c r="X6" s="1">
        <v>75</v>
      </c>
      <c r="Y6" s="1">
        <v>70</v>
      </c>
      <c r="Z6" s="1">
        <v>80</v>
      </c>
      <c r="AA6" s="1">
        <v>70</v>
      </c>
      <c r="AB6" s="1">
        <v>100</v>
      </c>
      <c r="AC6" s="1">
        <v>105</v>
      </c>
      <c r="AD6" s="1">
        <v>110</v>
      </c>
      <c r="AE6" s="1">
        <v>115</v>
      </c>
      <c r="AF6" s="1">
        <v>120</v>
      </c>
      <c r="AG6" s="1">
        <v>125</v>
      </c>
      <c r="AH6" s="1">
        <v>130</v>
      </c>
      <c r="AI6" s="1">
        <v>115</v>
      </c>
      <c r="AJ6" s="1">
        <v>110</v>
      </c>
      <c r="AK6" s="1">
        <v>110</v>
      </c>
      <c r="AL6" s="1">
        <v>100</v>
      </c>
      <c r="AM6" s="1">
        <v>94</v>
      </c>
    </row>
    <row r="7" spans="1:256">
      <c r="B7" s="1" t="s">
        <v>259</v>
      </c>
      <c r="F7" s="1">
        <v>15</v>
      </c>
      <c r="G7" s="1">
        <v>15</v>
      </c>
      <c r="J7" s="1">
        <v>15</v>
      </c>
      <c r="K7" s="1">
        <v>20</v>
      </c>
      <c r="N7" s="1">
        <v>20</v>
      </c>
      <c r="O7" s="1">
        <v>25</v>
      </c>
      <c r="R7" s="1">
        <v>40</v>
      </c>
      <c r="S7" s="1">
        <v>40</v>
      </c>
      <c r="T7" s="1">
        <v>45</v>
      </c>
      <c r="V7" s="1">
        <v>40</v>
      </c>
      <c r="W7" s="1">
        <v>40</v>
      </c>
      <c r="X7" s="1">
        <v>45</v>
      </c>
      <c r="Z7" s="1">
        <v>45</v>
      </c>
      <c r="AA7" s="1">
        <v>40</v>
      </c>
      <c r="AB7" s="1">
        <v>45</v>
      </c>
      <c r="AC7" s="1">
        <v>45</v>
      </c>
      <c r="AD7" s="1">
        <v>50</v>
      </c>
      <c r="AE7" s="1">
        <v>40</v>
      </c>
      <c r="AF7" s="1">
        <v>50</v>
      </c>
      <c r="AG7" s="1">
        <v>50</v>
      </c>
      <c r="AH7" s="1">
        <v>55</v>
      </c>
      <c r="AI7" s="1">
        <v>50</v>
      </c>
      <c r="AJ7" s="1">
        <v>50</v>
      </c>
      <c r="AK7" s="1">
        <v>45</v>
      </c>
      <c r="AL7" s="1">
        <v>50</v>
      </c>
      <c r="AM7" s="1">
        <v>50</v>
      </c>
    </row>
    <row r="8" spans="1:256">
      <c r="B8" s="1" t="s">
        <v>260</v>
      </c>
      <c r="AE8" s="1">
        <v>10</v>
      </c>
      <c r="AK8" s="1">
        <v>10</v>
      </c>
    </row>
    <row r="9" spans="1:256">
      <c r="B9" s="82" t="s">
        <v>261</v>
      </c>
      <c r="D9" s="1">
        <f t="shared" ref="D9:O9" si="2">SUM(D6:D8)</f>
        <v>20</v>
      </c>
      <c r="E9" s="1">
        <f t="shared" si="2"/>
        <v>30</v>
      </c>
      <c r="F9" s="1">
        <f t="shared" si="2"/>
        <v>65</v>
      </c>
      <c r="G9" s="1">
        <f t="shared" si="2"/>
        <v>65</v>
      </c>
      <c r="H9" s="1">
        <f t="shared" si="2"/>
        <v>50</v>
      </c>
      <c r="I9" s="1">
        <f t="shared" si="2"/>
        <v>45</v>
      </c>
      <c r="J9" s="1">
        <f t="shared" si="2"/>
        <v>55</v>
      </c>
      <c r="K9" s="1">
        <f t="shared" si="2"/>
        <v>65</v>
      </c>
      <c r="L9" s="1">
        <f t="shared" si="2"/>
        <v>50</v>
      </c>
      <c r="M9" s="1">
        <f t="shared" si="2"/>
        <v>50</v>
      </c>
      <c r="N9" s="1">
        <f t="shared" si="2"/>
        <v>70</v>
      </c>
      <c r="O9" s="1">
        <f t="shared" si="2"/>
        <v>75</v>
      </c>
      <c r="P9" s="1">
        <f t="shared" ref="P9:AM9" si="3">SUM(P6:P8)</f>
        <v>70</v>
      </c>
      <c r="Q9" s="1">
        <f t="shared" si="3"/>
        <v>75</v>
      </c>
      <c r="R9" s="1">
        <f t="shared" si="3"/>
        <v>120</v>
      </c>
      <c r="S9" s="1">
        <f t="shared" si="3"/>
        <v>125</v>
      </c>
      <c r="T9" s="1">
        <f t="shared" si="3"/>
        <v>135</v>
      </c>
      <c r="U9" s="1">
        <f t="shared" si="3"/>
        <v>90</v>
      </c>
      <c r="V9" s="1">
        <f t="shared" si="3"/>
        <v>135</v>
      </c>
      <c r="W9" s="1">
        <f t="shared" si="3"/>
        <v>130</v>
      </c>
      <c r="X9" s="1">
        <f t="shared" si="3"/>
        <v>120</v>
      </c>
      <c r="Y9" s="1">
        <f t="shared" si="3"/>
        <v>70</v>
      </c>
      <c r="Z9" s="1">
        <f t="shared" si="3"/>
        <v>125</v>
      </c>
      <c r="AA9" s="1">
        <f t="shared" si="3"/>
        <v>110</v>
      </c>
      <c r="AB9" s="1">
        <f t="shared" si="3"/>
        <v>145</v>
      </c>
      <c r="AC9" s="1">
        <f t="shared" si="3"/>
        <v>150</v>
      </c>
      <c r="AD9" s="1">
        <f t="shared" si="3"/>
        <v>160</v>
      </c>
      <c r="AE9" s="1">
        <f t="shared" si="3"/>
        <v>165</v>
      </c>
      <c r="AF9" s="1">
        <f t="shared" si="3"/>
        <v>170</v>
      </c>
      <c r="AG9" s="1">
        <f t="shared" si="3"/>
        <v>175</v>
      </c>
      <c r="AH9" s="1">
        <f t="shared" si="3"/>
        <v>185</v>
      </c>
      <c r="AI9" s="1">
        <f t="shared" si="3"/>
        <v>165</v>
      </c>
      <c r="AJ9" s="1">
        <f t="shared" si="3"/>
        <v>160</v>
      </c>
      <c r="AK9" s="1">
        <f t="shared" si="3"/>
        <v>165</v>
      </c>
      <c r="AL9" s="1">
        <f t="shared" si="3"/>
        <v>150</v>
      </c>
      <c r="AM9" s="1">
        <f t="shared" si="3"/>
        <v>144</v>
      </c>
    </row>
    <row r="10" spans="1:256">
      <c r="B10" s="82"/>
    </row>
    <row r="11" spans="1:256">
      <c r="B11" s="1" t="s">
        <v>262</v>
      </c>
      <c r="D11" s="1">
        <v>12</v>
      </c>
      <c r="E11" s="1">
        <v>30</v>
      </c>
      <c r="F11" s="1">
        <v>30</v>
      </c>
      <c r="G11" s="1">
        <v>30</v>
      </c>
      <c r="H11" s="1">
        <v>30</v>
      </c>
      <c r="I11" s="1">
        <v>30</v>
      </c>
      <c r="J11" s="1">
        <v>30</v>
      </c>
      <c r="K11" s="1">
        <v>30</v>
      </c>
      <c r="L11" s="1">
        <v>30</v>
      </c>
      <c r="M11" s="1">
        <v>30</v>
      </c>
      <c r="N11" s="1">
        <v>30</v>
      </c>
      <c r="O11" s="1">
        <v>30</v>
      </c>
      <c r="P11" s="1">
        <v>50</v>
      </c>
      <c r="Q11" s="1">
        <v>55</v>
      </c>
      <c r="R11" s="1">
        <v>55</v>
      </c>
      <c r="S11" s="1">
        <v>60</v>
      </c>
      <c r="T11" s="1">
        <v>55</v>
      </c>
      <c r="U11" s="1">
        <v>65</v>
      </c>
      <c r="V11" s="1">
        <v>70</v>
      </c>
      <c r="W11" s="1">
        <v>70</v>
      </c>
      <c r="X11" s="1">
        <v>65</v>
      </c>
      <c r="Y11" s="1">
        <v>55</v>
      </c>
      <c r="Z11" s="1">
        <v>55</v>
      </c>
      <c r="AA11" s="1">
        <v>55</v>
      </c>
      <c r="AB11" s="1">
        <v>60</v>
      </c>
      <c r="AC11" s="1">
        <v>65</v>
      </c>
      <c r="AD11" s="1">
        <v>70</v>
      </c>
      <c r="AE11" s="1">
        <v>70</v>
      </c>
      <c r="AF11" s="1">
        <v>75</v>
      </c>
      <c r="AG11" s="1">
        <v>85</v>
      </c>
      <c r="AH11" s="1">
        <v>85</v>
      </c>
      <c r="AI11" s="1">
        <v>80</v>
      </c>
      <c r="AJ11" s="1">
        <v>75</v>
      </c>
      <c r="AK11" s="1">
        <v>75</v>
      </c>
      <c r="AL11" s="1">
        <v>70</v>
      </c>
      <c r="AM11" s="1">
        <v>55</v>
      </c>
    </row>
    <row r="12" spans="1:256">
      <c r="B12" s="1" t="s">
        <v>263</v>
      </c>
      <c r="E12" s="1">
        <v>15</v>
      </c>
      <c r="F12" s="1">
        <v>35</v>
      </c>
      <c r="G12" s="1">
        <v>15</v>
      </c>
      <c r="H12" s="1">
        <v>35</v>
      </c>
      <c r="I12" s="1">
        <v>15</v>
      </c>
      <c r="J12" s="1">
        <v>15</v>
      </c>
      <c r="K12" s="1">
        <v>15</v>
      </c>
      <c r="L12" s="1">
        <v>15</v>
      </c>
      <c r="M12" s="1">
        <v>35</v>
      </c>
      <c r="N12" s="1">
        <v>35</v>
      </c>
      <c r="O12" s="1">
        <v>35</v>
      </c>
      <c r="P12" s="1">
        <v>30</v>
      </c>
      <c r="Q12" s="1">
        <v>15</v>
      </c>
      <c r="R12" s="1">
        <v>40</v>
      </c>
      <c r="S12" s="1">
        <v>40</v>
      </c>
      <c r="T12" s="1">
        <v>30</v>
      </c>
      <c r="U12" s="1">
        <v>15</v>
      </c>
      <c r="V12" s="1">
        <v>35</v>
      </c>
      <c r="W12" s="1">
        <v>35</v>
      </c>
      <c r="X12" s="1">
        <v>35</v>
      </c>
      <c r="Y12" s="1">
        <v>15</v>
      </c>
      <c r="Z12" s="1">
        <v>35</v>
      </c>
      <c r="AA12" s="1">
        <v>15</v>
      </c>
      <c r="AB12" s="1">
        <v>30</v>
      </c>
      <c r="AC12" s="1">
        <v>70</v>
      </c>
      <c r="AD12" s="1">
        <v>60</v>
      </c>
      <c r="AE12" s="1">
        <v>60</v>
      </c>
      <c r="AF12" s="1">
        <v>60</v>
      </c>
      <c r="AG12" s="1">
        <v>60</v>
      </c>
      <c r="AH12" s="1">
        <v>65</v>
      </c>
      <c r="AI12" s="1">
        <v>60</v>
      </c>
      <c r="AJ12" s="1">
        <v>60</v>
      </c>
      <c r="AK12" s="1">
        <v>60</v>
      </c>
      <c r="AL12" s="1">
        <v>60</v>
      </c>
      <c r="AM12" s="1">
        <v>50</v>
      </c>
    </row>
    <row r="13" spans="1:256">
      <c r="B13" s="1" t="s">
        <v>211</v>
      </c>
      <c r="H13" s="1">
        <v>5</v>
      </c>
      <c r="L13" s="1">
        <v>5</v>
      </c>
      <c r="T13" s="1">
        <v>8</v>
      </c>
      <c r="X13" s="1">
        <v>8</v>
      </c>
      <c r="AC13" s="1">
        <v>15</v>
      </c>
      <c r="AF13" s="1">
        <v>15</v>
      </c>
      <c r="AJ13" s="1">
        <v>15</v>
      </c>
    </row>
    <row r="14" spans="1:256">
      <c r="B14" s="82" t="s">
        <v>264</v>
      </c>
      <c r="D14" s="1">
        <f t="shared" ref="D14:O14" si="4">SUM(D11:D13)</f>
        <v>12</v>
      </c>
      <c r="E14" s="1">
        <f t="shared" si="4"/>
        <v>45</v>
      </c>
      <c r="F14" s="1">
        <f t="shared" si="4"/>
        <v>65</v>
      </c>
      <c r="G14" s="1">
        <f t="shared" si="4"/>
        <v>45</v>
      </c>
      <c r="H14" s="1">
        <f t="shared" si="4"/>
        <v>70</v>
      </c>
      <c r="I14" s="1">
        <f t="shared" si="4"/>
        <v>45</v>
      </c>
      <c r="J14" s="1">
        <f t="shared" si="4"/>
        <v>45</v>
      </c>
      <c r="K14" s="1">
        <f t="shared" si="4"/>
        <v>45</v>
      </c>
      <c r="L14" s="1">
        <f t="shared" si="4"/>
        <v>50</v>
      </c>
      <c r="M14" s="1">
        <f t="shared" si="4"/>
        <v>65</v>
      </c>
      <c r="N14" s="1">
        <f t="shared" si="4"/>
        <v>65</v>
      </c>
      <c r="O14" s="1">
        <f t="shared" si="4"/>
        <v>65</v>
      </c>
      <c r="P14" s="1">
        <f t="shared" ref="P14:AM14" si="5">SUM(P11:P13)</f>
        <v>80</v>
      </c>
      <c r="Q14" s="1">
        <f t="shared" si="5"/>
        <v>70</v>
      </c>
      <c r="R14" s="1">
        <f t="shared" si="5"/>
        <v>95</v>
      </c>
      <c r="S14" s="1">
        <f t="shared" si="5"/>
        <v>100</v>
      </c>
      <c r="T14" s="1">
        <f t="shared" si="5"/>
        <v>93</v>
      </c>
      <c r="U14" s="1">
        <f t="shared" si="5"/>
        <v>80</v>
      </c>
      <c r="V14" s="1">
        <f t="shared" si="5"/>
        <v>105</v>
      </c>
      <c r="W14" s="1">
        <f t="shared" si="5"/>
        <v>105</v>
      </c>
      <c r="X14" s="1">
        <f t="shared" si="5"/>
        <v>108</v>
      </c>
      <c r="Y14" s="1">
        <f t="shared" si="5"/>
        <v>70</v>
      </c>
      <c r="Z14" s="1">
        <f t="shared" si="5"/>
        <v>90</v>
      </c>
      <c r="AA14" s="1">
        <f t="shared" si="5"/>
        <v>70</v>
      </c>
      <c r="AB14" s="1">
        <f t="shared" si="5"/>
        <v>90</v>
      </c>
      <c r="AC14" s="1">
        <f t="shared" si="5"/>
        <v>150</v>
      </c>
      <c r="AD14" s="1">
        <f t="shared" si="5"/>
        <v>130</v>
      </c>
      <c r="AE14" s="1">
        <f t="shared" si="5"/>
        <v>130</v>
      </c>
      <c r="AF14" s="1">
        <f t="shared" si="5"/>
        <v>150</v>
      </c>
      <c r="AG14" s="1">
        <f t="shared" si="5"/>
        <v>145</v>
      </c>
      <c r="AH14" s="1">
        <f t="shared" si="5"/>
        <v>150</v>
      </c>
      <c r="AI14" s="1">
        <f t="shared" si="5"/>
        <v>140</v>
      </c>
      <c r="AJ14" s="1">
        <f t="shared" si="5"/>
        <v>150</v>
      </c>
      <c r="AK14" s="1">
        <f t="shared" si="5"/>
        <v>135</v>
      </c>
      <c r="AL14" s="1">
        <f t="shared" si="5"/>
        <v>130</v>
      </c>
      <c r="AM14" s="1">
        <f t="shared" si="5"/>
        <v>105</v>
      </c>
    </row>
    <row r="15" spans="1:256">
      <c r="B15" s="82"/>
    </row>
    <row r="16" spans="1:256">
      <c r="B16" s="1" t="s">
        <v>51</v>
      </c>
      <c r="D16" s="1">
        <v>0.5</v>
      </c>
      <c r="E16" s="1">
        <v>0.25</v>
      </c>
      <c r="G16" s="1">
        <v>0.5</v>
      </c>
      <c r="H16" s="1">
        <v>0.25</v>
      </c>
      <c r="J16" s="1">
        <v>0.5</v>
      </c>
      <c r="K16" s="1">
        <v>0.25</v>
      </c>
      <c r="M16" s="1">
        <v>0.5</v>
      </c>
      <c r="P16" s="1">
        <v>0.5</v>
      </c>
      <c r="Q16" s="1">
        <v>0.25</v>
      </c>
      <c r="S16" s="1">
        <v>0.5</v>
      </c>
      <c r="T16" s="1">
        <v>0.25</v>
      </c>
      <c r="V16" s="1">
        <v>0.5</v>
      </c>
      <c r="W16" s="1">
        <v>0.25</v>
      </c>
      <c r="Y16" s="1">
        <v>0.5</v>
      </c>
      <c r="AB16" s="1">
        <v>0.5</v>
      </c>
      <c r="AC16" s="1">
        <v>0.25</v>
      </c>
      <c r="AE16" s="1">
        <v>0.5</v>
      </c>
      <c r="AF16" s="1">
        <v>0.25</v>
      </c>
      <c r="AH16" s="1">
        <v>0.5</v>
      </c>
      <c r="AI16" s="1">
        <v>0.25</v>
      </c>
      <c r="AK16" s="1">
        <v>0.5</v>
      </c>
    </row>
    <row r="17" spans="2:39">
      <c r="B17" s="1" t="s">
        <v>52</v>
      </c>
      <c r="E17" s="1">
        <v>0.25</v>
      </c>
      <c r="F17" s="1">
        <v>0.5</v>
      </c>
      <c r="H17" s="1">
        <v>0.25</v>
      </c>
      <c r="I17" s="1">
        <v>0.5</v>
      </c>
      <c r="K17" s="1">
        <v>0.25</v>
      </c>
      <c r="L17" s="1">
        <v>0.5</v>
      </c>
      <c r="N17" s="1">
        <v>0.5</v>
      </c>
      <c r="O17" s="1">
        <v>0.5</v>
      </c>
      <c r="Q17" s="1">
        <v>0.25</v>
      </c>
      <c r="R17" s="1">
        <v>0.5</v>
      </c>
      <c r="T17" s="1">
        <v>0.25</v>
      </c>
      <c r="U17" s="1">
        <v>0.5</v>
      </c>
      <c r="W17" s="1">
        <v>0.25</v>
      </c>
      <c r="X17" s="1">
        <v>0.5</v>
      </c>
      <c r="Z17" s="1">
        <v>0.5</v>
      </c>
      <c r="AA17" s="1">
        <v>0.5</v>
      </c>
      <c r="AC17" s="1">
        <v>0.25</v>
      </c>
      <c r="AD17" s="1">
        <v>0.5</v>
      </c>
      <c r="AF17" s="1">
        <v>0.25</v>
      </c>
      <c r="AG17" s="1">
        <v>0.5</v>
      </c>
      <c r="AI17" s="1">
        <v>0.25</v>
      </c>
      <c r="AJ17" s="1">
        <v>0.5</v>
      </c>
      <c r="AL17" s="1">
        <v>0.5</v>
      </c>
      <c r="AM17" s="1">
        <v>0.5</v>
      </c>
    </row>
    <row r="18" spans="2:39">
      <c r="B18" s="1" t="s">
        <v>53</v>
      </c>
      <c r="D18" s="1">
        <v>6</v>
      </c>
      <c r="E18" s="1">
        <v>7</v>
      </c>
      <c r="F18" s="1">
        <v>8</v>
      </c>
      <c r="G18" s="1">
        <v>10</v>
      </c>
      <c r="H18" s="1">
        <v>8</v>
      </c>
      <c r="I18" s="1">
        <v>8</v>
      </c>
      <c r="J18" s="1">
        <v>7</v>
      </c>
      <c r="K18" s="1">
        <v>6</v>
      </c>
      <c r="L18" s="1">
        <v>7</v>
      </c>
      <c r="M18" s="1">
        <v>6</v>
      </c>
      <c r="N18" s="1">
        <v>5</v>
      </c>
      <c r="O18" s="1">
        <v>9</v>
      </c>
      <c r="P18" s="1">
        <v>10</v>
      </c>
      <c r="Q18" s="1">
        <v>10</v>
      </c>
      <c r="R18" s="1">
        <v>12</v>
      </c>
      <c r="S18" s="1">
        <v>13</v>
      </c>
      <c r="T18" s="1">
        <v>13</v>
      </c>
      <c r="U18" s="1">
        <v>15</v>
      </c>
      <c r="V18" s="1">
        <v>15</v>
      </c>
      <c r="W18" s="1">
        <v>14</v>
      </c>
      <c r="X18" s="1">
        <v>12</v>
      </c>
      <c r="Y18" s="1">
        <v>9</v>
      </c>
      <c r="Z18" s="1">
        <v>8</v>
      </c>
      <c r="AA18" s="1">
        <v>10</v>
      </c>
      <c r="AB18" s="1">
        <v>10</v>
      </c>
      <c r="AC18" s="1">
        <v>10</v>
      </c>
      <c r="AD18" s="1">
        <v>12</v>
      </c>
      <c r="AE18" s="1">
        <v>13</v>
      </c>
      <c r="AF18" s="1">
        <v>13</v>
      </c>
      <c r="AG18" s="1">
        <v>15</v>
      </c>
      <c r="AH18" s="1">
        <v>15</v>
      </c>
      <c r="AI18" s="1">
        <v>14</v>
      </c>
      <c r="AJ18" s="1">
        <v>12</v>
      </c>
      <c r="AK18" s="1">
        <v>9</v>
      </c>
      <c r="AL18" s="1">
        <v>8</v>
      </c>
      <c r="AM18" s="1">
        <v>10</v>
      </c>
    </row>
    <row r="19" spans="2:39">
      <c r="B19" s="82" t="s">
        <v>265</v>
      </c>
      <c r="D19" s="1">
        <f>SUM(D16:D18)</f>
        <v>6.5</v>
      </c>
      <c r="E19" s="1">
        <f t="shared" ref="E19:O19" si="6">SUM(E16:E18)</f>
        <v>7.5</v>
      </c>
      <c r="F19" s="1">
        <f t="shared" si="6"/>
        <v>8.5</v>
      </c>
      <c r="G19" s="1">
        <f t="shared" si="6"/>
        <v>10.5</v>
      </c>
      <c r="H19" s="1">
        <f t="shared" si="6"/>
        <v>8.5</v>
      </c>
      <c r="I19" s="1">
        <f t="shared" si="6"/>
        <v>8.5</v>
      </c>
      <c r="J19" s="1">
        <f t="shared" si="6"/>
        <v>7.5</v>
      </c>
      <c r="K19" s="1">
        <f t="shared" si="6"/>
        <v>6.5</v>
      </c>
      <c r="L19" s="1">
        <f t="shared" si="6"/>
        <v>7.5</v>
      </c>
      <c r="M19" s="1">
        <f t="shared" si="6"/>
        <v>6.5</v>
      </c>
      <c r="N19" s="1">
        <f t="shared" si="6"/>
        <v>5.5</v>
      </c>
      <c r="O19" s="1">
        <f t="shared" si="6"/>
        <v>9.5</v>
      </c>
      <c r="P19" s="1">
        <f>SUM(P16:P18)</f>
        <v>10.5</v>
      </c>
      <c r="Q19" s="1">
        <f t="shared" ref="Q19:AA19" si="7">SUM(Q16:Q18)</f>
        <v>10.5</v>
      </c>
      <c r="R19" s="1">
        <f t="shared" si="7"/>
        <v>12.5</v>
      </c>
      <c r="S19" s="1">
        <f t="shared" si="7"/>
        <v>13.5</v>
      </c>
      <c r="T19" s="1">
        <f t="shared" si="7"/>
        <v>13.5</v>
      </c>
      <c r="U19" s="1">
        <f t="shared" si="7"/>
        <v>15.5</v>
      </c>
      <c r="V19" s="1">
        <f t="shared" si="7"/>
        <v>15.5</v>
      </c>
      <c r="W19" s="1">
        <f t="shared" si="7"/>
        <v>14.5</v>
      </c>
      <c r="X19" s="1">
        <f t="shared" si="7"/>
        <v>12.5</v>
      </c>
      <c r="Y19" s="1">
        <f t="shared" si="7"/>
        <v>9.5</v>
      </c>
      <c r="Z19" s="1">
        <f t="shared" si="7"/>
        <v>8.5</v>
      </c>
      <c r="AA19" s="1">
        <f t="shared" si="7"/>
        <v>10.5</v>
      </c>
      <c r="AB19" s="1">
        <f>SUM(AB16:AB18)</f>
        <v>10.5</v>
      </c>
      <c r="AC19" s="1">
        <f t="shared" ref="AC19:AM19" si="8">SUM(AC16:AC18)</f>
        <v>10.5</v>
      </c>
      <c r="AD19" s="1">
        <f t="shared" si="8"/>
        <v>12.5</v>
      </c>
      <c r="AE19" s="1">
        <f t="shared" si="8"/>
        <v>13.5</v>
      </c>
      <c r="AF19" s="1">
        <f t="shared" si="8"/>
        <v>13.5</v>
      </c>
      <c r="AG19" s="1">
        <f t="shared" si="8"/>
        <v>15.5</v>
      </c>
      <c r="AH19" s="1">
        <f t="shared" si="8"/>
        <v>15.5</v>
      </c>
      <c r="AI19" s="1">
        <f t="shared" si="8"/>
        <v>14.5</v>
      </c>
      <c r="AJ19" s="1">
        <f t="shared" si="8"/>
        <v>12.5</v>
      </c>
      <c r="AK19" s="1">
        <f t="shared" si="8"/>
        <v>9.5</v>
      </c>
      <c r="AL19" s="1">
        <f t="shared" si="8"/>
        <v>8.5</v>
      </c>
      <c r="AM19" s="1">
        <f t="shared" si="8"/>
        <v>10.5</v>
      </c>
    </row>
    <row r="21" spans="2:39">
      <c r="B21" s="82" t="s">
        <v>266</v>
      </c>
      <c r="D21" s="1">
        <f t="shared" ref="D21:AM21" si="9">D9+D14+D19</f>
        <v>38.5</v>
      </c>
      <c r="E21" s="1">
        <f t="shared" si="9"/>
        <v>82.5</v>
      </c>
      <c r="F21" s="1">
        <f t="shared" si="9"/>
        <v>138.5</v>
      </c>
      <c r="G21" s="1">
        <f t="shared" si="9"/>
        <v>120.5</v>
      </c>
      <c r="H21" s="1">
        <f t="shared" si="9"/>
        <v>128.5</v>
      </c>
      <c r="I21" s="1">
        <f t="shared" si="9"/>
        <v>98.5</v>
      </c>
      <c r="J21" s="1">
        <f t="shared" si="9"/>
        <v>107.5</v>
      </c>
      <c r="K21" s="1">
        <f t="shared" si="9"/>
        <v>116.5</v>
      </c>
      <c r="L21" s="1">
        <f t="shared" si="9"/>
        <v>107.5</v>
      </c>
      <c r="M21" s="1">
        <f t="shared" si="9"/>
        <v>121.5</v>
      </c>
      <c r="N21" s="1">
        <f t="shared" si="9"/>
        <v>140.5</v>
      </c>
      <c r="O21" s="1">
        <f t="shared" si="9"/>
        <v>149.5</v>
      </c>
      <c r="P21" s="1">
        <f t="shared" si="9"/>
        <v>160.5</v>
      </c>
      <c r="Q21" s="1">
        <f t="shared" si="9"/>
        <v>155.5</v>
      </c>
      <c r="R21" s="1">
        <f t="shared" si="9"/>
        <v>227.5</v>
      </c>
      <c r="S21" s="1">
        <f t="shared" si="9"/>
        <v>238.5</v>
      </c>
      <c r="T21" s="1">
        <f t="shared" si="9"/>
        <v>241.5</v>
      </c>
      <c r="U21" s="1">
        <f t="shared" si="9"/>
        <v>185.5</v>
      </c>
      <c r="V21" s="1">
        <f t="shared" si="9"/>
        <v>255.5</v>
      </c>
      <c r="W21" s="1">
        <f t="shared" si="9"/>
        <v>249.5</v>
      </c>
      <c r="X21" s="1">
        <f t="shared" si="9"/>
        <v>240.5</v>
      </c>
      <c r="Y21" s="1">
        <f t="shared" si="9"/>
        <v>149.5</v>
      </c>
      <c r="Z21" s="1">
        <f t="shared" si="9"/>
        <v>223.5</v>
      </c>
      <c r="AA21" s="1">
        <f t="shared" si="9"/>
        <v>190.5</v>
      </c>
      <c r="AB21" s="1">
        <f t="shared" si="9"/>
        <v>245.5</v>
      </c>
      <c r="AC21" s="1">
        <f t="shared" si="9"/>
        <v>310.5</v>
      </c>
      <c r="AD21" s="1">
        <f t="shared" si="9"/>
        <v>302.5</v>
      </c>
      <c r="AE21" s="1">
        <f t="shared" si="9"/>
        <v>308.5</v>
      </c>
      <c r="AF21" s="1">
        <f t="shared" si="9"/>
        <v>333.5</v>
      </c>
      <c r="AG21" s="1">
        <f t="shared" si="9"/>
        <v>335.5</v>
      </c>
      <c r="AH21" s="1">
        <f t="shared" si="9"/>
        <v>350.5</v>
      </c>
      <c r="AI21" s="1">
        <f t="shared" si="9"/>
        <v>319.5</v>
      </c>
      <c r="AJ21" s="1">
        <f t="shared" si="9"/>
        <v>322.5</v>
      </c>
      <c r="AK21" s="1">
        <f t="shared" si="9"/>
        <v>309.5</v>
      </c>
      <c r="AL21" s="1">
        <f t="shared" si="9"/>
        <v>288.5</v>
      </c>
      <c r="AM21" s="1">
        <f t="shared" si="9"/>
        <v>259.5</v>
      </c>
    </row>
    <row r="22" spans="2:39">
      <c r="N22" s="82" t="s">
        <v>267</v>
      </c>
      <c r="O22" s="98">
        <f>SUM(D21:O21)</f>
        <v>1350</v>
      </c>
      <c r="Z22" s="82" t="s">
        <v>269</v>
      </c>
      <c r="AA22" s="98">
        <f>SUM(P21:AA21)</f>
        <v>2518</v>
      </c>
      <c r="AL22" s="82" t="s">
        <v>271</v>
      </c>
      <c r="AM22" s="98">
        <f>SUM(AB21:AM21)</f>
        <v>3686</v>
      </c>
    </row>
    <row r="24" spans="2:39">
      <c r="B24" s="82" t="s">
        <v>21</v>
      </c>
    </row>
    <row r="25" spans="2:39">
      <c r="B25" s="1" t="s">
        <v>282</v>
      </c>
      <c r="D25" s="23">
        <f>D6*'COGS and Revenue'!$G$3</f>
        <v>3800</v>
      </c>
      <c r="E25" s="23">
        <f>E6*'COGS and Revenue'!$G$3</f>
        <v>5700</v>
      </c>
      <c r="F25" s="23">
        <f>F6*'COGS and Revenue'!$G$3</f>
        <v>9500</v>
      </c>
      <c r="G25" s="23">
        <f>G6*'COGS and Revenue'!$G$3</f>
        <v>9500</v>
      </c>
      <c r="H25" s="23">
        <f>H6*'COGS and Revenue'!$G$3</f>
        <v>9500</v>
      </c>
      <c r="I25" s="23">
        <f>I6*'COGS and Revenue'!$G$3</f>
        <v>8550</v>
      </c>
      <c r="J25" s="23">
        <f>J6*'COGS and Revenue'!$G$3</f>
        <v>7600</v>
      </c>
      <c r="K25" s="23">
        <f>K6*'COGS and Revenue'!$G$3</f>
        <v>8550</v>
      </c>
      <c r="L25" s="23">
        <f>L6*'COGS and Revenue'!$G$3</f>
        <v>9500</v>
      </c>
      <c r="M25" s="23">
        <f>M6*'COGS and Revenue'!$G$3</f>
        <v>9500</v>
      </c>
      <c r="N25" s="23">
        <f>N6*'COGS and Revenue'!$G$3</f>
        <v>9500</v>
      </c>
      <c r="O25" s="23">
        <f>O6*'COGS and Revenue'!$G$3</f>
        <v>9500</v>
      </c>
      <c r="P25" s="23">
        <f>P6*'COGS and Revenue'!$G$3</f>
        <v>13300</v>
      </c>
      <c r="Q25" s="23">
        <f>Q6*'COGS and Revenue'!$G$3</f>
        <v>14250</v>
      </c>
      <c r="R25" s="23">
        <f>R6*'COGS and Revenue'!$G$3</f>
        <v>15200</v>
      </c>
      <c r="S25" s="23">
        <f>S6*'COGS and Revenue'!$G$3</f>
        <v>16150</v>
      </c>
      <c r="T25" s="23">
        <f>T6*'COGS and Revenue'!$G$3</f>
        <v>17100</v>
      </c>
      <c r="U25" s="23">
        <f>U6*'COGS and Revenue'!$G$3</f>
        <v>17100</v>
      </c>
      <c r="V25" s="23">
        <f>V6*'COGS and Revenue'!$G$3</f>
        <v>18050</v>
      </c>
      <c r="W25" s="23">
        <f>W6*'COGS and Revenue'!$G$3</f>
        <v>17100</v>
      </c>
      <c r="X25" s="23">
        <f>X6*'COGS and Revenue'!$G$3</f>
        <v>14250</v>
      </c>
      <c r="Y25" s="23">
        <f>Y6*'COGS and Revenue'!$G$3</f>
        <v>13300</v>
      </c>
      <c r="Z25" s="23">
        <f>Z6*'COGS and Revenue'!$G$3</f>
        <v>15200</v>
      </c>
      <c r="AA25" s="23">
        <f>AA6*'COGS and Revenue'!$G$3</f>
        <v>13300</v>
      </c>
      <c r="AB25" s="23">
        <f>AB6*'COGS and Revenue'!$G$3</f>
        <v>19000</v>
      </c>
      <c r="AC25" s="23">
        <f>AC6*'COGS and Revenue'!$G$3</f>
        <v>19950</v>
      </c>
      <c r="AD25" s="23">
        <f>AD6*'COGS and Revenue'!$G$3</f>
        <v>20900</v>
      </c>
      <c r="AE25" s="23">
        <f>AE6*'COGS and Revenue'!$G$3</f>
        <v>21850</v>
      </c>
      <c r="AF25" s="23">
        <f>AF6*'COGS and Revenue'!$G$3</f>
        <v>22800</v>
      </c>
      <c r="AG25" s="23">
        <f>AG6*'COGS and Revenue'!$G$3</f>
        <v>23750</v>
      </c>
      <c r="AH25" s="23">
        <f>AH6*'COGS and Revenue'!$G$3</f>
        <v>24700</v>
      </c>
      <c r="AI25" s="23">
        <f>AI6*'COGS and Revenue'!$G$3</f>
        <v>21850</v>
      </c>
      <c r="AJ25" s="23">
        <f>AJ6*'COGS and Revenue'!$G$3</f>
        <v>20900</v>
      </c>
      <c r="AK25" s="23">
        <f>AK6*'COGS and Revenue'!$G$3</f>
        <v>20900</v>
      </c>
      <c r="AL25" s="23">
        <f>AL6*'COGS and Revenue'!$G$3</f>
        <v>19000</v>
      </c>
      <c r="AM25" s="23">
        <f>AM6*'COGS and Revenue'!$G$3</f>
        <v>17860</v>
      </c>
    </row>
    <row r="26" spans="2:39">
      <c r="B26" s="1" t="s">
        <v>259</v>
      </c>
      <c r="D26" s="23">
        <f>D7*'COGS and Revenue'!$G$4</f>
        <v>0</v>
      </c>
      <c r="E26" s="23">
        <f>E7*'COGS and Revenue'!$G$4</f>
        <v>0</v>
      </c>
      <c r="F26" s="23">
        <f>F7*'COGS and Revenue'!$G$4</f>
        <v>3150</v>
      </c>
      <c r="G26" s="23">
        <f>G7*'COGS and Revenue'!$G$4</f>
        <v>3150</v>
      </c>
      <c r="H26" s="23">
        <f>H7*'COGS and Revenue'!$G$4</f>
        <v>0</v>
      </c>
      <c r="I26" s="23">
        <f>I7*'COGS and Revenue'!$G$4</f>
        <v>0</v>
      </c>
      <c r="J26" s="23">
        <f>J7*'COGS and Revenue'!$G$4</f>
        <v>3150</v>
      </c>
      <c r="K26" s="23">
        <f>K7*'COGS and Revenue'!$G$4</f>
        <v>4200</v>
      </c>
      <c r="L26" s="23">
        <f>L7*'COGS and Revenue'!$G$4</f>
        <v>0</v>
      </c>
      <c r="M26" s="23">
        <f>M7*'COGS and Revenue'!$G$4</f>
        <v>0</v>
      </c>
      <c r="N26" s="23">
        <f>N7*'COGS and Revenue'!$G$4</f>
        <v>4200</v>
      </c>
      <c r="O26" s="23">
        <f>O7*'COGS and Revenue'!$G$4</f>
        <v>5250</v>
      </c>
      <c r="P26" s="23">
        <f>P7*'COGS and Revenue'!$G$4</f>
        <v>0</v>
      </c>
      <c r="Q26" s="23">
        <f>Q7*'COGS and Revenue'!$G$4</f>
        <v>0</v>
      </c>
      <c r="R26" s="23">
        <f>R7*'COGS and Revenue'!$G$4</f>
        <v>8400</v>
      </c>
      <c r="S26" s="23">
        <f>S7*'COGS and Revenue'!$G$4</f>
        <v>8400</v>
      </c>
      <c r="T26" s="23">
        <f>T7*'COGS and Revenue'!$G$4</f>
        <v>9450</v>
      </c>
      <c r="U26" s="23">
        <f>U7*'COGS and Revenue'!$G$4</f>
        <v>0</v>
      </c>
      <c r="V26" s="23">
        <f>V7*'COGS and Revenue'!$G$4</f>
        <v>8400</v>
      </c>
      <c r="W26" s="23">
        <f>W7*'COGS and Revenue'!$G$4</f>
        <v>8400</v>
      </c>
      <c r="X26" s="23">
        <f>X7*'COGS and Revenue'!$G$4</f>
        <v>9450</v>
      </c>
      <c r="Y26" s="23">
        <f>Y7*'COGS and Revenue'!$G$4</f>
        <v>0</v>
      </c>
      <c r="Z26" s="23">
        <f>Z7*'COGS and Revenue'!$G$4</f>
        <v>9450</v>
      </c>
      <c r="AA26" s="23">
        <f>AA7*'COGS and Revenue'!$G$4</f>
        <v>8400</v>
      </c>
      <c r="AB26" s="23">
        <f>AB7*'COGS and Revenue'!$G$4</f>
        <v>9450</v>
      </c>
      <c r="AC26" s="23">
        <f>AC7*'COGS and Revenue'!$G$4</f>
        <v>9450</v>
      </c>
      <c r="AD26" s="23">
        <f>AD7*'COGS and Revenue'!$G$4</f>
        <v>10500</v>
      </c>
      <c r="AE26" s="23">
        <f>AE7*'COGS and Revenue'!$G$4</f>
        <v>8400</v>
      </c>
      <c r="AF26" s="23">
        <f>AF7*'COGS and Revenue'!$G$4</f>
        <v>10500</v>
      </c>
      <c r="AG26" s="23">
        <f>AG7*'COGS and Revenue'!$G$4</f>
        <v>10500</v>
      </c>
      <c r="AH26" s="23">
        <f>AH7*'COGS and Revenue'!$G$4</f>
        <v>11550</v>
      </c>
      <c r="AI26" s="23">
        <f>AI7*'COGS and Revenue'!$G$4</f>
        <v>10500</v>
      </c>
      <c r="AJ26" s="23">
        <f>AJ7*'COGS and Revenue'!$G$4</f>
        <v>10500</v>
      </c>
      <c r="AK26" s="23">
        <f>AK7*'COGS and Revenue'!$G$4</f>
        <v>9450</v>
      </c>
      <c r="AL26" s="23">
        <f>AL7*'COGS and Revenue'!$G$4</f>
        <v>10500</v>
      </c>
      <c r="AM26" s="23">
        <f>AM7*'COGS and Revenue'!$G$4</f>
        <v>10500</v>
      </c>
    </row>
    <row r="27" spans="2:39">
      <c r="B27" s="1" t="s">
        <v>260</v>
      </c>
      <c r="D27" s="23">
        <f>D8*'COGS and Revenue'!$G$5</f>
        <v>0</v>
      </c>
      <c r="E27" s="23">
        <f>E8*'COGS and Revenue'!$G$5</f>
        <v>0</v>
      </c>
      <c r="F27" s="23">
        <f>F8*'COGS and Revenue'!$G$5</f>
        <v>0</v>
      </c>
      <c r="G27" s="23">
        <f>G8*'COGS and Revenue'!$G$5</f>
        <v>0</v>
      </c>
      <c r="H27" s="23">
        <f>H8*'COGS and Revenue'!$G$5</f>
        <v>0</v>
      </c>
      <c r="I27" s="23">
        <f>I8*'COGS and Revenue'!$G$5</f>
        <v>0</v>
      </c>
      <c r="J27" s="23">
        <f>J8*'COGS and Revenue'!$G$5</f>
        <v>0</v>
      </c>
      <c r="K27" s="23">
        <f>K8*'COGS and Revenue'!$G$5</f>
        <v>0</v>
      </c>
      <c r="L27" s="23">
        <f>L8*'COGS and Revenue'!$G$5</f>
        <v>0</v>
      </c>
      <c r="M27" s="23">
        <f>M8*'COGS and Revenue'!$G$5</f>
        <v>0</v>
      </c>
      <c r="N27" s="23">
        <f>N8*'COGS and Revenue'!$G$5</f>
        <v>0</v>
      </c>
      <c r="O27" s="23">
        <f>O8*'COGS and Revenue'!$G$5</f>
        <v>0</v>
      </c>
      <c r="P27" s="23">
        <f>P8*'COGS and Revenue'!$G$5</f>
        <v>0</v>
      </c>
      <c r="Q27" s="23">
        <f>Q8*'COGS and Revenue'!$G$5</f>
        <v>0</v>
      </c>
      <c r="R27" s="23">
        <f>R8*'COGS and Revenue'!$G$5</f>
        <v>0</v>
      </c>
      <c r="S27" s="23">
        <f>S8*'COGS and Revenue'!$G$5</f>
        <v>0</v>
      </c>
      <c r="T27" s="23">
        <f>T8*'COGS and Revenue'!$G$5</f>
        <v>0</v>
      </c>
      <c r="U27" s="23">
        <f>U8*'COGS and Revenue'!$G$5</f>
        <v>0</v>
      </c>
      <c r="V27" s="23">
        <f>V8*'COGS and Revenue'!$G$5</f>
        <v>0</v>
      </c>
      <c r="W27" s="23">
        <f>W8*'COGS and Revenue'!$G$5</f>
        <v>0</v>
      </c>
      <c r="X27" s="23">
        <f>X8*'COGS and Revenue'!$G$5</f>
        <v>0</v>
      </c>
      <c r="Y27" s="23">
        <f>Y8*'COGS and Revenue'!$G$5</f>
        <v>0</v>
      </c>
      <c r="Z27" s="23">
        <f>Z8*'COGS and Revenue'!$G$5</f>
        <v>0</v>
      </c>
      <c r="AA27" s="23">
        <f>AA8*'COGS and Revenue'!$G$5</f>
        <v>0</v>
      </c>
      <c r="AB27" s="23">
        <f>AB8*'COGS and Revenue'!$G$5</f>
        <v>0</v>
      </c>
      <c r="AC27" s="23">
        <f>AC8*'COGS and Revenue'!$G$5</f>
        <v>0</v>
      </c>
      <c r="AD27" s="23">
        <f>AD8*'COGS and Revenue'!$G$5</f>
        <v>0</v>
      </c>
      <c r="AE27" s="23">
        <f>AE8*'COGS and Revenue'!$G$5</f>
        <v>2700</v>
      </c>
      <c r="AF27" s="23">
        <f>AF8*'COGS and Revenue'!$G$5</f>
        <v>0</v>
      </c>
      <c r="AG27" s="23">
        <f>AG8*'COGS and Revenue'!$G$5</f>
        <v>0</v>
      </c>
      <c r="AH27" s="23">
        <f>AH8*'COGS and Revenue'!$G$5</f>
        <v>0</v>
      </c>
      <c r="AI27" s="23">
        <f>AI8*'COGS and Revenue'!$G$5</f>
        <v>0</v>
      </c>
      <c r="AJ27" s="23">
        <f>AJ8*'COGS and Revenue'!$G$5</f>
        <v>0</v>
      </c>
      <c r="AK27" s="23">
        <f>AK8*'COGS and Revenue'!$G$5</f>
        <v>2700</v>
      </c>
      <c r="AL27" s="23">
        <f>AL8*'COGS and Revenue'!$G$5</f>
        <v>0</v>
      </c>
      <c r="AM27" s="23">
        <f>AM8*'COGS and Revenue'!$G$5</f>
        <v>0</v>
      </c>
    </row>
    <row r="28" spans="2:39">
      <c r="B28" s="82" t="s">
        <v>54</v>
      </c>
      <c r="C28" s="82"/>
      <c r="D28" s="23">
        <f t="shared" ref="D28:AM28" si="10">SUM(D25:D27)</f>
        <v>3800</v>
      </c>
      <c r="E28" s="23">
        <f t="shared" si="10"/>
        <v>5700</v>
      </c>
      <c r="F28" s="23">
        <f t="shared" si="10"/>
        <v>12650</v>
      </c>
      <c r="G28" s="23">
        <f t="shared" si="10"/>
        <v>12650</v>
      </c>
      <c r="H28" s="23">
        <f t="shared" si="10"/>
        <v>9500</v>
      </c>
      <c r="I28" s="23">
        <f t="shared" si="10"/>
        <v>8550</v>
      </c>
      <c r="J28" s="23">
        <f t="shared" si="10"/>
        <v>10750</v>
      </c>
      <c r="K28" s="23">
        <f t="shared" si="10"/>
        <v>12750</v>
      </c>
      <c r="L28" s="23">
        <f t="shared" si="10"/>
        <v>9500</v>
      </c>
      <c r="M28" s="23">
        <f t="shared" si="10"/>
        <v>9500</v>
      </c>
      <c r="N28" s="23">
        <f t="shared" si="10"/>
        <v>13700</v>
      </c>
      <c r="O28" s="23">
        <f t="shared" si="10"/>
        <v>14750</v>
      </c>
      <c r="P28" s="23">
        <f t="shared" si="10"/>
        <v>13300</v>
      </c>
      <c r="Q28" s="23">
        <f t="shared" si="10"/>
        <v>14250</v>
      </c>
      <c r="R28" s="23">
        <f t="shared" si="10"/>
        <v>23600</v>
      </c>
      <c r="S28" s="23">
        <f t="shared" si="10"/>
        <v>24550</v>
      </c>
      <c r="T28" s="23">
        <f t="shared" si="10"/>
        <v>26550</v>
      </c>
      <c r="U28" s="23">
        <f t="shared" si="10"/>
        <v>17100</v>
      </c>
      <c r="V28" s="23">
        <f t="shared" si="10"/>
        <v>26450</v>
      </c>
      <c r="W28" s="23">
        <f t="shared" si="10"/>
        <v>25500</v>
      </c>
      <c r="X28" s="23">
        <f t="shared" si="10"/>
        <v>23700</v>
      </c>
      <c r="Y28" s="23">
        <f t="shared" si="10"/>
        <v>13300</v>
      </c>
      <c r="Z28" s="23">
        <f t="shared" si="10"/>
        <v>24650</v>
      </c>
      <c r="AA28" s="23">
        <f t="shared" si="10"/>
        <v>21700</v>
      </c>
      <c r="AB28" s="23">
        <f t="shared" si="10"/>
        <v>28450</v>
      </c>
      <c r="AC28" s="23">
        <f t="shared" si="10"/>
        <v>29400</v>
      </c>
      <c r="AD28" s="23">
        <f t="shared" si="10"/>
        <v>31400</v>
      </c>
      <c r="AE28" s="23">
        <f t="shared" si="10"/>
        <v>32950</v>
      </c>
      <c r="AF28" s="23">
        <f t="shared" si="10"/>
        <v>33300</v>
      </c>
      <c r="AG28" s="23">
        <f t="shared" si="10"/>
        <v>34250</v>
      </c>
      <c r="AH28" s="23">
        <f t="shared" si="10"/>
        <v>36250</v>
      </c>
      <c r="AI28" s="23">
        <f t="shared" si="10"/>
        <v>32350</v>
      </c>
      <c r="AJ28" s="23">
        <f t="shared" si="10"/>
        <v>31400</v>
      </c>
      <c r="AK28" s="23">
        <f t="shared" si="10"/>
        <v>33050</v>
      </c>
      <c r="AL28" s="23">
        <f t="shared" si="10"/>
        <v>29500</v>
      </c>
      <c r="AM28" s="23">
        <f t="shared" si="10"/>
        <v>28360</v>
      </c>
    </row>
    <row r="29" spans="2:39">
      <c r="B29" s="82"/>
      <c r="C29" s="8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99" t="s">
        <v>55</v>
      </c>
      <c r="O29" s="100">
        <f>SUM(D28:O28)</f>
        <v>123800</v>
      </c>
      <c r="Z29" s="82" t="s">
        <v>56</v>
      </c>
      <c r="AA29" s="100">
        <f>SUM(P28:AA28)</f>
        <v>254650</v>
      </c>
      <c r="AL29" s="82" t="s">
        <v>57</v>
      </c>
      <c r="AM29" s="100">
        <f>SUM(AB28:AM28)</f>
        <v>380660</v>
      </c>
    </row>
    <row r="30" spans="2:39">
      <c r="B30" s="1" t="s">
        <v>262</v>
      </c>
      <c r="D30" s="23">
        <f>D11*'COGS and Revenue'!$G$6</f>
        <v>855</v>
      </c>
      <c r="E30" s="23">
        <f>E11*'COGS and Revenue'!$G$6</f>
        <v>2137.5</v>
      </c>
      <c r="F30" s="23">
        <f>F11*'COGS and Revenue'!$G$6</f>
        <v>2137.5</v>
      </c>
      <c r="G30" s="23">
        <f>G11*'COGS and Revenue'!$G$6</f>
        <v>2137.5</v>
      </c>
      <c r="H30" s="23">
        <f>H11*'COGS and Revenue'!$G$6</f>
        <v>2137.5</v>
      </c>
      <c r="I30" s="23">
        <f>I11*'COGS and Revenue'!$G$6</f>
        <v>2137.5</v>
      </c>
      <c r="J30" s="23">
        <f>J11*'COGS and Revenue'!$G$6</f>
        <v>2137.5</v>
      </c>
      <c r="K30" s="23">
        <f>K11*'COGS and Revenue'!$G$6</f>
        <v>2137.5</v>
      </c>
      <c r="L30" s="23">
        <f>L11*'COGS and Revenue'!$G$6</f>
        <v>2137.5</v>
      </c>
      <c r="M30" s="23">
        <f>M11*'COGS and Revenue'!$G$6</f>
        <v>2137.5</v>
      </c>
      <c r="N30" s="23">
        <f>N11*'COGS and Revenue'!$G$6</f>
        <v>2137.5</v>
      </c>
      <c r="O30" s="23">
        <f>O11*'COGS and Revenue'!$G$6</f>
        <v>2137.5</v>
      </c>
      <c r="P30" s="23">
        <f>P11*'COGS and Revenue'!$G$6</f>
        <v>3562.5</v>
      </c>
      <c r="Q30" s="23">
        <f>Q11*'COGS and Revenue'!$G$6</f>
        <v>3918.75</v>
      </c>
      <c r="R30" s="23">
        <f>R11*'COGS and Revenue'!$G$6</f>
        <v>3918.75</v>
      </c>
      <c r="S30" s="23">
        <f>S11*'COGS and Revenue'!$G$6</f>
        <v>4275</v>
      </c>
      <c r="T30" s="23">
        <f>T11*'COGS and Revenue'!$G$6</f>
        <v>3918.75</v>
      </c>
      <c r="U30" s="23">
        <f>U11*'COGS and Revenue'!$G$6</f>
        <v>4631.25</v>
      </c>
      <c r="V30" s="23">
        <f>V11*'COGS and Revenue'!$G$6</f>
        <v>4987.5</v>
      </c>
      <c r="W30" s="23">
        <f>W11*'COGS and Revenue'!$G$6</f>
        <v>4987.5</v>
      </c>
      <c r="X30" s="23">
        <f>X11*'COGS and Revenue'!$G$6</f>
        <v>4631.25</v>
      </c>
      <c r="Y30" s="23">
        <f>Y11*'COGS and Revenue'!$G$6</f>
        <v>3918.75</v>
      </c>
      <c r="Z30" s="23">
        <f>Z11*'COGS and Revenue'!$G$6</f>
        <v>3918.75</v>
      </c>
      <c r="AA30" s="23">
        <f>AA11*'COGS and Revenue'!$G$6</f>
        <v>3918.75</v>
      </c>
      <c r="AB30" s="23">
        <f>AB11*'COGS and Revenue'!$G$6</f>
        <v>4275</v>
      </c>
      <c r="AC30" s="23">
        <f>AC11*'COGS and Revenue'!$G$6</f>
        <v>4631.25</v>
      </c>
      <c r="AD30" s="23">
        <f>AD11*'COGS and Revenue'!$G$6</f>
        <v>4987.5</v>
      </c>
      <c r="AE30" s="23">
        <f>AE11*'COGS and Revenue'!$G$6</f>
        <v>4987.5</v>
      </c>
      <c r="AF30" s="23">
        <f>AF11*'COGS and Revenue'!$G$6</f>
        <v>5343.75</v>
      </c>
      <c r="AG30" s="23">
        <f>AG11*'COGS and Revenue'!$G$6</f>
        <v>6056.25</v>
      </c>
      <c r="AH30" s="23">
        <f>AH11*'COGS and Revenue'!$G$6</f>
        <v>6056.25</v>
      </c>
      <c r="AI30" s="23">
        <f>AI11*'COGS and Revenue'!$G$6</f>
        <v>5700</v>
      </c>
      <c r="AJ30" s="23">
        <f>AJ11*'COGS and Revenue'!$G$6</f>
        <v>5343.75</v>
      </c>
      <c r="AK30" s="23">
        <f>AK11*'COGS and Revenue'!$G$6</f>
        <v>5343.75</v>
      </c>
      <c r="AL30" s="23">
        <f>AL11*'COGS and Revenue'!$G$6</f>
        <v>4987.5</v>
      </c>
      <c r="AM30" s="23">
        <f>AM11*'COGS and Revenue'!$G$6</f>
        <v>3918.75</v>
      </c>
    </row>
    <row r="31" spans="2:39">
      <c r="B31" s="1" t="s">
        <v>263</v>
      </c>
      <c r="D31" s="23">
        <f>D12*'COGS and Revenue'!$G$7</f>
        <v>0</v>
      </c>
      <c r="E31" s="23">
        <f>E12*'COGS and Revenue'!$G$7</f>
        <v>6615.0000000000009</v>
      </c>
      <c r="F31" s="23">
        <f>F12*'COGS and Revenue'!$G$7</f>
        <v>15435.000000000002</v>
      </c>
      <c r="G31" s="23">
        <f>G12*'COGS and Revenue'!$G$7</f>
        <v>6615.0000000000009</v>
      </c>
      <c r="H31" s="23">
        <f>H12*'COGS and Revenue'!$G$7</f>
        <v>15435.000000000002</v>
      </c>
      <c r="I31" s="23">
        <f>I12*'COGS and Revenue'!$G$7</f>
        <v>6615.0000000000009</v>
      </c>
      <c r="J31" s="23">
        <f>J12*'COGS and Revenue'!$G$7</f>
        <v>6615.0000000000009</v>
      </c>
      <c r="K31" s="23">
        <f>K12*'COGS and Revenue'!$G$7</f>
        <v>6615.0000000000009</v>
      </c>
      <c r="L31" s="23">
        <f>L12*'COGS and Revenue'!$G$7</f>
        <v>6615.0000000000009</v>
      </c>
      <c r="M31" s="23">
        <f>M12*'COGS and Revenue'!$G$7</f>
        <v>15435.000000000002</v>
      </c>
      <c r="N31" s="23">
        <f>N12*'COGS and Revenue'!$G$7</f>
        <v>15435.000000000002</v>
      </c>
      <c r="O31" s="23">
        <f>O12*'COGS and Revenue'!$G$7</f>
        <v>15435.000000000002</v>
      </c>
      <c r="P31" s="23">
        <f>P12*'COGS and Revenue'!$G$7</f>
        <v>13230.000000000002</v>
      </c>
      <c r="Q31" s="23">
        <f>Q12*'COGS and Revenue'!$G$7</f>
        <v>6615.0000000000009</v>
      </c>
      <c r="R31" s="23">
        <f>R12*'COGS and Revenue'!$G$7</f>
        <v>17640.000000000004</v>
      </c>
      <c r="S31" s="23">
        <f>S12*'COGS and Revenue'!$G$7</f>
        <v>17640.000000000004</v>
      </c>
      <c r="T31" s="23">
        <f>T12*'COGS and Revenue'!$G$7</f>
        <v>13230.000000000002</v>
      </c>
      <c r="U31" s="23">
        <f>U12*'COGS and Revenue'!$G$7</f>
        <v>6615.0000000000009</v>
      </c>
      <c r="V31" s="23">
        <f>V12*'COGS and Revenue'!$G$7</f>
        <v>15435.000000000002</v>
      </c>
      <c r="W31" s="23">
        <f>W12*'COGS and Revenue'!$G$7</f>
        <v>15435.000000000002</v>
      </c>
      <c r="X31" s="23">
        <f>X12*'COGS and Revenue'!$G$7</f>
        <v>15435.000000000002</v>
      </c>
      <c r="Y31" s="23">
        <f>Y12*'COGS and Revenue'!$G$7</f>
        <v>6615.0000000000009</v>
      </c>
      <c r="Z31" s="23">
        <f>Z12*'COGS and Revenue'!$G$7</f>
        <v>15435.000000000002</v>
      </c>
      <c r="AA31" s="23">
        <f>AA12*'COGS and Revenue'!$G$7</f>
        <v>6615.0000000000009</v>
      </c>
      <c r="AB31" s="23">
        <f>AB12*'COGS and Revenue'!$G$7</f>
        <v>13230.000000000002</v>
      </c>
      <c r="AC31" s="23">
        <f>AC12*'COGS and Revenue'!$G$7</f>
        <v>30870.000000000004</v>
      </c>
      <c r="AD31" s="23">
        <f>AD12*'COGS and Revenue'!$G$7</f>
        <v>26460.000000000004</v>
      </c>
      <c r="AE31" s="23">
        <f>AE12*'COGS and Revenue'!$G$7</f>
        <v>26460.000000000004</v>
      </c>
      <c r="AF31" s="23">
        <f>AF12*'COGS and Revenue'!$G$7</f>
        <v>26460.000000000004</v>
      </c>
      <c r="AG31" s="23">
        <f>AG12*'COGS and Revenue'!$G$7</f>
        <v>26460.000000000004</v>
      </c>
      <c r="AH31" s="23">
        <f>AH12*'COGS and Revenue'!$G$7</f>
        <v>28665.000000000004</v>
      </c>
      <c r="AI31" s="23">
        <f>AI12*'COGS and Revenue'!$G$7</f>
        <v>26460.000000000004</v>
      </c>
      <c r="AJ31" s="23">
        <f>AJ12*'COGS and Revenue'!$G$7</f>
        <v>26460.000000000004</v>
      </c>
      <c r="AK31" s="23">
        <f>AK12*'COGS and Revenue'!$G$7</f>
        <v>26460.000000000004</v>
      </c>
      <c r="AL31" s="23">
        <f>AL12*'COGS and Revenue'!$G$7</f>
        <v>26460.000000000004</v>
      </c>
      <c r="AM31" s="23">
        <f>AM12*'COGS and Revenue'!$G$7</f>
        <v>22050.000000000004</v>
      </c>
    </row>
    <row r="32" spans="2:39">
      <c r="B32" s="1" t="s">
        <v>211</v>
      </c>
      <c r="D32" s="23">
        <f>D13*'COGS and Revenue'!$G$9</f>
        <v>0</v>
      </c>
      <c r="E32" s="23">
        <f>E13*'COGS and Revenue'!$G$9</f>
        <v>0</v>
      </c>
      <c r="F32" s="23">
        <f>F13*'COGS and Revenue'!$G$9</f>
        <v>0</v>
      </c>
      <c r="G32" s="23">
        <f>G13*'COGS and Revenue'!$G$9</f>
        <v>0</v>
      </c>
      <c r="H32" s="23">
        <f>H13*'COGS and Revenue'!$G$9</f>
        <v>5400</v>
      </c>
      <c r="I32" s="23">
        <f>I13*'COGS and Revenue'!$G$9</f>
        <v>0</v>
      </c>
      <c r="J32" s="23">
        <f>J13*'COGS and Revenue'!$G$9</f>
        <v>0</v>
      </c>
      <c r="K32" s="23">
        <f>K13*'COGS and Revenue'!$G$9</f>
        <v>0</v>
      </c>
      <c r="L32" s="23">
        <f>L13*'COGS and Revenue'!$G$9</f>
        <v>5400</v>
      </c>
      <c r="M32" s="23">
        <f>M13*'COGS and Revenue'!$G$9</f>
        <v>0</v>
      </c>
      <c r="N32" s="23">
        <f>N13*'COGS and Revenue'!$G$9</f>
        <v>0</v>
      </c>
      <c r="O32" s="23">
        <f>O13*'COGS and Revenue'!$G$9</f>
        <v>0</v>
      </c>
      <c r="P32" s="23">
        <f>P13*'COGS and Revenue'!$G$9</f>
        <v>0</v>
      </c>
      <c r="Q32" s="23">
        <f>Q13*'COGS and Revenue'!$G$9</f>
        <v>0</v>
      </c>
      <c r="R32" s="23">
        <f>R13*'COGS and Revenue'!$G$9</f>
        <v>0</v>
      </c>
      <c r="S32" s="23">
        <f>S13*'COGS and Revenue'!$G$9</f>
        <v>0</v>
      </c>
      <c r="T32" s="23">
        <f>T13*'COGS and Revenue'!$G$9</f>
        <v>8640</v>
      </c>
      <c r="U32" s="23">
        <f>U13*'COGS and Revenue'!$G$9</f>
        <v>0</v>
      </c>
      <c r="V32" s="23">
        <f>V13*'COGS and Revenue'!$G$9</f>
        <v>0</v>
      </c>
      <c r="W32" s="23">
        <f>W13*'COGS and Revenue'!$G$9</f>
        <v>0</v>
      </c>
      <c r="X32" s="23">
        <f>X13*'COGS and Revenue'!$G$9</f>
        <v>8640</v>
      </c>
      <c r="Y32" s="23">
        <f>Y13*'COGS and Revenue'!$G$9</f>
        <v>0</v>
      </c>
      <c r="Z32" s="23">
        <f>Z13*'COGS and Revenue'!$G$9</f>
        <v>0</v>
      </c>
      <c r="AA32" s="23">
        <f>AA13*'COGS and Revenue'!$G$9</f>
        <v>0</v>
      </c>
      <c r="AB32" s="23">
        <f>AB13*'COGS and Revenue'!$G$9</f>
        <v>0</v>
      </c>
      <c r="AC32" s="23">
        <f>AC13*'COGS and Revenue'!$G$9</f>
        <v>16200</v>
      </c>
      <c r="AD32" s="23">
        <f>AD13*'COGS and Revenue'!$G$9</f>
        <v>0</v>
      </c>
      <c r="AE32" s="23">
        <f>AE13*'COGS and Revenue'!$G$9</f>
        <v>0</v>
      </c>
      <c r="AF32" s="23">
        <f>AF13*'COGS and Revenue'!$G$9</f>
        <v>16200</v>
      </c>
      <c r="AG32" s="23">
        <f>AG13*'COGS and Revenue'!$G$9</f>
        <v>0</v>
      </c>
      <c r="AH32" s="23">
        <f>AH13*'COGS and Revenue'!$G$9</f>
        <v>0</v>
      </c>
      <c r="AI32" s="23">
        <f>AI13*'COGS and Revenue'!$G$9</f>
        <v>0</v>
      </c>
      <c r="AJ32" s="23">
        <f>AJ13*'COGS and Revenue'!$G$9</f>
        <v>16200</v>
      </c>
      <c r="AK32" s="23">
        <f>AK13*'COGS and Revenue'!$G$9</f>
        <v>0</v>
      </c>
      <c r="AL32" s="23">
        <f>AL13*'COGS and Revenue'!$G$9</f>
        <v>0</v>
      </c>
      <c r="AM32" s="23">
        <f>AM13*'COGS and Revenue'!$G$9</f>
        <v>0</v>
      </c>
    </row>
    <row r="33" spans="1:39">
      <c r="B33" s="82" t="s">
        <v>58</v>
      </c>
      <c r="C33" s="82"/>
      <c r="D33" s="23">
        <f t="shared" ref="D33:AM33" si="11">SUM(D30:D32)</f>
        <v>855</v>
      </c>
      <c r="E33" s="23">
        <f t="shared" si="11"/>
        <v>8752.5</v>
      </c>
      <c r="F33" s="23">
        <f t="shared" si="11"/>
        <v>17572.5</v>
      </c>
      <c r="G33" s="23">
        <f t="shared" si="11"/>
        <v>8752.5</v>
      </c>
      <c r="H33" s="23">
        <f t="shared" si="11"/>
        <v>22972.5</v>
      </c>
      <c r="I33" s="23">
        <f t="shared" si="11"/>
        <v>8752.5</v>
      </c>
      <c r="J33" s="23">
        <f t="shared" si="11"/>
        <v>8752.5</v>
      </c>
      <c r="K33" s="23">
        <f t="shared" si="11"/>
        <v>8752.5</v>
      </c>
      <c r="L33" s="23">
        <f t="shared" si="11"/>
        <v>14152.5</v>
      </c>
      <c r="M33" s="23">
        <f t="shared" si="11"/>
        <v>17572.5</v>
      </c>
      <c r="N33" s="23">
        <f t="shared" si="11"/>
        <v>17572.5</v>
      </c>
      <c r="O33" s="23">
        <f t="shared" si="11"/>
        <v>17572.5</v>
      </c>
      <c r="P33" s="23">
        <f t="shared" si="11"/>
        <v>16792.5</v>
      </c>
      <c r="Q33" s="23">
        <f t="shared" si="11"/>
        <v>10533.75</v>
      </c>
      <c r="R33" s="23">
        <f t="shared" si="11"/>
        <v>21558.750000000004</v>
      </c>
      <c r="S33" s="23">
        <f t="shared" si="11"/>
        <v>21915.000000000004</v>
      </c>
      <c r="T33" s="23">
        <f t="shared" si="11"/>
        <v>25788.75</v>
      </c>
      <c r="U33" s="23">
        <f t="shared" si="11"/>
        <v>11246.25</v>
      </c>
      <c r="V33" s="23">
        <f t="shared" si="11"/>
        <v>20422.5</v>
      </c>
      <c r="W33" s="23">
        <f t="shared" si="11"/>
        <v>20422.5</v>
      </c>
      <c r="X33" s="23">
        <f t="shared" si="11"/>
        <v>28706.25</v>
      </c>
      <c r="Y33" s="23">
        <f t="shared" si="11"/>
        <v>10533.75</v>
      </c>
      <c r="Z33" s="23">
        <f t="shared" si="11"/>
        <v>19353.75</v>
      </c>
      <c r="AA33" s="23">
        <f t="shared" si="11"/>
        <v>10533.75</v>
      </c>
      <c r="AB33" s="23">
        <f t="shared" si="11"/>
        <v>17505</v>
      </c>
      <c r="AC33" s="23">
        <f t="shared" si="11"/>
        <v>51701.25</v>
      </c>
      <c r="AD33" s="23">
        <f t="shared" si="11"/>
        <v>31447.500000000004</v>
      </c>
      <c r="AE33" s="23">
        <f t="shared" si="11"/>
        <v>31447.500000000004</v>
      </c>
      <c r="AF33" s="23">
        <f t="shared" si="11"/>
        <v>48003.75</v>
      </c>
      <c r="AG33" s="23">
        <f t="shared" si="11"/>
        <v>32516.250000000004</v>
      </c>
      <c r="AH33" s="23">
        <f t="shared" si="11"/>
        <v>34721.25</v>
      </c>
      <c r="AI33" s="23">
        <f t="shared" si="11"/>
        <v>32160.000000000004</v>
      </c>
      <c r="AJ33" s="23">
        <f t="shared" si="11"/>
        <v>48003.75</v>
      </c>
      <c r="AK33" s="23">
        <f t="shared" si="11"/>
        <v>31803.750000000004</v>
      </c>
      <c r="AL33" s="23">
        <f t="shared" si="11"/>
        <v>31447.500000000004</v>
      </c>
      <c r="AM33" s="23">
        <f t="shared" si="11"/>
        <v>25968.750000000004</v>
      </c>
    </row>
    <row r="34" spans="1:39">
      <c r="B34" s="82"/>
      <c r="C34" s="8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99" t="s">
        <v>59</v>
      </c>
      <c r="O34" s="100">
        <f>SUM(D33:O33)</f>
        <v>152032.5</v>
      </c>
      <c r="Z34" s="82" t="s">
        <v>56</v>
      </c>
      <c r="AA34" s="100">
        <f>SUM(P33:AA33)</f>
        <v>217807.5</v>
      </c>
      <c r="AL34" s="82" t="s">
        <v>57</v>
      </c>
      <c r="AM34" s="100">
        <f>SUM(AB33:AM33)</f>
        <v>416726.25</v>
      </c>
    </row>
    <row r="35" spans="1:39">
      <c r="B35" s="1" t="s">
        <v>51</v>
      </c>
      <c r="D35" s="23">
        <f>D16*'COGS and Revenue'!$G$11</f>
        <v>465</v>
      </c>
      <c r="E35" s="23">
        <f>E16*'COGS and Revenue'!$G$11</f>
        <v>232.5</v>
      </c>
      <c r="F35" s="23">
        <f>F16*'COGS and Revenue'!$G$11</f>
        <v>0</v>
      </c>
      <c r="G35" s="23">
        <f>G16*'COGS and Revenue'!$G$11</f>
        <v>465</v>
      </c>
      <c r="H35" s="23">
        <f>H16*'COGS and Revenue'!$G$11</f>
        <v>232.5</v>
      </c>
      <c r="I35" s="23">
        <f>I16*'COGS and Revenue'!$G$11</f>
        <v>0</v>
      </c>
      <c r="J35" s="23">
        <f>J16*'COGS and Revenue'!$G$11</f>
        <v>465</v>
      </c>
      <c r="K35" s="23">
        <f>K16*'COGS and Revenue'!$G$11</f>
        <v>232.5</v>
      </c>
      <c r="L35" s="23">
        <f>L16*'COGS and Revenue'!$G$11</f>
        <v>0</v>
      </c>
      <c r="M35" s="23">
        <f>M16*'COGS and Revenue'!$G$11</f>
        <v>465</v>
      </c>
      <c r="N35" s="23">
        <f>N16*'COGS and Revenue'!$G$11</f>
        <v>0</v>
      </c>
      <c r="O35" s="23">
        <f>O16*'COGS and Revenue'!$G$11</f>
        <v>0</v>
      </c>
      <c r="P35" s="23">
        <f>P16*'COGS and Revenue'!$G$11</f>
        <v>465</v>
      </c>
      <c r="Q35" s="23">
        <f>Q16*'COGS and Revenue'!$G$11</f>
        <v>232.5</v>
      </c>
      <c r="R35" s="23">
        <f>R16*'COGS and Revenue'!$G$11</f>
        <v>0</v>
      </c>
      <c r="S35" s="23">
        <f>S16*'COGS and Revenue'!$G$11</f>
        <v>465</v>
      </c>
      <c r="T35" s="23">
        <f>T16*'COGS and Revenue'!$G$11</f>
        <v>232.5</v>
      </c>
      <c r="U35" s="23">
        <f>U16*'COGS and Revenue'!$G$11</f>
        <v>0</v>
      </c>
      <c r="V35" s="23">
        <f>V16*'COGS and Revenue'!$G$11</f>
        <v>465</v>
      </c>
      <c r="W35" s="23">
        <f>W16*'COGS and Revenue'!$G$11</f>
        <v>232.5</v>
      </c>
      <c r="X35" s="23">
        <f>X16*'COGS and Revenue'!$G$11</f>
        <v>0</v>
      </c>
      <c r="Y35" s="23">
        <f>Y16*'COGS and Revenue'!$G$11</f>
        <v>465</v>
      </c>
      <c r="Z35" s="23">
        <f>Z16*'COGS and Revenue'!$G$11</f>
        <v>0</v>
      </c>
      <c r="AA35" s="23">
        <f>AA16*'COGS and Revenue'!$G$11</f>
        <v>0</v>
      </c>
      <c r="AB35" s="23">
        <f>AB16*'COGS and Revenue'!$G$11</f>
        <v>465</v>
      </c>
      <c r="AC35" s="23">
        <f>AC16*'COGS and Revenue'!$G$11</f>
        <v>232.5</v>
      </c>
      <c r="AD35" s="23">
        <f>AD16*'COGS and Revenue'!$G$11</f>
        <v>0</v>
      </c>
      <c r="AE35" s="23">
        <f>AE16*'COGS and Revenue'!$G$11</f>
        <v>465</v>
      </c>
      <c r="AF35" s="23">
        <f>AF16*'COGS and Revenue'!$G$11</f>
        <v>232.5</v>
      </c>
      <c r="AG35" s="23">
        <f>AG16*'COGS and Revenue'!$G$11</f>
        <v>0</v>
      </c>
      <c r="AH35" s="23">
        <f>AH16*'COGS and Revenue'!$G$11</f>
        <v>465</v>
      </c>
      <c r="AI35" s="23">
        <f>AI16*'COGS and Revenue'!$G$11</f>
        <v>232.5</v>
      </c>
      <c r="AJ35" s="23">
        <f>AJ16*'COGS and Revenue'!$G$11</f>
        <v>0</v>
      </c>
      <c r="AK35" s="23">
        <f>AK16*'COGS and Revenue'!$G$11</f>
        <v>465</v>
      </c>
      <c r="AL35" s="23">
        <f>AL16*'COGS and Revenue'!$G$11</f>
        <v>0</v>
      </c>
      <c r="AM35" s="23">
        <f>AM16*'COGS and Revenue'!$G$11</f>
        <v>0</v>
      </c>
    </row>
    <row r="36" spans="1:39">
      <c r="B36" s="1" t="s">
        <v>52</v>
      </c>
      <c r="D36" s="23">
        <f>D17*'COGS and Revenue'!$G$12</f>
        <v>0</v>
      </c>
      <c r="E36" s="23">
        <f>E17*'COGS and Revenue'!$G$12</f>
        <v>186</v>
      </c>
      <c r="F36" s="23">
        <f>F17*'COGS and Revenue'!$G$12</f>
        <v>372</v>
      </c>
      <c r="G36" s="23">
        <f>G17*'COGS and Revenue'!$G$12</f>
        <v>0</v>
      </c>
      <c r="H36" s="23">
        <f>H17*'COGS and Revenue'!$G$12</f>
        <v>186</v>
      </c>
      <c r="I36" s="23">
        <f>I17*'COGS and Revenue'!$G$12</f>
        <v>372</v>
      </c>
      <c r="J36" s="23">
        <f>J17*'COGS and Revenue'!$G$12</f>
        <v>0</v>
      </c>
      <c r="K36" s="23">
        <f>K17*'COGS and Revenue'!$G$12</f>
        <v>186</v>
      </c>
      <c r="L36" s="23">
        <f>L17*'COGS and Revenue'!$G$12</f>
        <v>372</v>
      </c>
      <c r="M36" s="23">
        <f>M17*'COGS and Revenue'!$G$12</f>
        <v>0</v>
      </c>
      <c r="N36" s="23">
        <f>N17*'COGS and Revenue'!$G$12</f>
        <v>372</v>
      </c>
      <c r="O36" s="23">
        <f>O17*'COGS and Revenue'!$G$12</f>
        <v>372</v>
      </c>
      <c r="P36" s="23">
        <f>P17*'COGS and Revenue'!$G$12</f>
        <v>0</v>
      </c>
      <c r="Q36" s="23">
        <f>Q17*'COGS and Revenue'!$G$12</f>
        <v>186</v>
      </c>
      <c r="R36" s="23">
        <f>R17*'COGS and Revenue'!$G$12</f>
        <v>372</v>
      </c>
      <c r="S36" s="23">
        <f>S17*'COGS and Revenue'!$G$12</f>
        <v>0</v>
      </c>
      <c r="T36" s="23">
        <f>T17*'COGS and Revenue'!$G$12</f>
        <v>186</v>
      </c>
      <c r="U36" s="23">
        <f>U17*'COGS and Revenue'!$G$12</f>
        <v>372</v>
      </c>
      <c r="V36" s="23">
        <f>V17*'COGS and Revenue'!$G$12</f>
        <v>0</v>
      </c>
      <c r="W36" s="23">
        <f>W17*'COGS and Revenue'!$G$12</f>
        <v>186</v>
      </c>
      <c r="X36" s="23">
        <f>X17*'COGS and Revenue'!$G$12</f>
        <v>372</v>
      </c>
      <c r="Y36" s="23">
        <f>Y17*'COGS and Revenue'!$G$12</f>
        <v>0</v>
      </c>
      <c r="Z36" s="23">
        <f>Z17*'COGS and Revenue'!$G$12</f>
        <v>372</v>
      </c>
      <c r="AA36" s="23">
        <f>AA17*'COGS and Revenue'!$G$12</f>
        <v>372</v>
      </c>
      <c r="AB36" s="23">
        <f>AB17*'COGS and Revenue'!$G$12</f>
        <v>0</v>
      </c>
      <c r="AC36" s="23">
        <f>AC17*'COGS and Revenue'!$G$12</f>
        <v>186</v>
      </c>
      <c r="AD36" s="23">
        <f>AD17*'COGS and Revenue'!$G$12</f>
        <v>372</v>
      </c>
      <c r="AE36" s="23">
        <f>AE17*'COGS and Revenue'!$G$12</f>
        <v>0</v>
      </c>
      <c r="AF36" s="23">
        <f>AF17*'COGS and Revenue'!$G$12</f>
        <v>186</v>
      </c>
      <c r="AG36" s="23">
        <f>AG17*'COGS and Revenue'!$G$12</f>
        <v>372</v>
      </c>
      <c r="AH36" s="23">
        <f>AH17*'COGS and Revenue'!$G$12</f>
        <v>0</v>
      </c>
      <c r="AI36" s="23">
        <f>AI17*'COGS and Revenue'!$G$12</f>
        <v>186</v>
      </c>
      <c r="AJ36" s="23">
        <f>AJ17*'COGS and Revenue'!$G$12</f>
        <v>372</v>
      </c>
      <c r="AK36" s="23">
        <f>AK17*'COGS and Revenue'!$G$12</f>
        <v>0</v>
      </c>
      <c r="AL36" s="23">
        <f>AL17*'COGS and Revenue'!$G$12</f>
        <v>372</v>
      </c>
      <c r="AM36" s="23">
        <f>AM17*'COGS and Revenue'!$G$12</f>
        <v>372</v>
      </c>
    </row>
    <row r="37" spans="1:39">
      <c r="B37" s="1" t="s">
        <v>53</v>
      </c>
      <c r="D37" s="23">
        <f>D18*'COGS and Revenue'!$G$13</f>
        <v>3420</v>
      </c>
      <c r="E37" s="23">
        <f>E18*'COGS and Revenue'!$G$13</f>
        <v>3990</v>
      </c>
      <c r="F37" s="23">
        <f>F18*'COGS and Revenue'!$G$13</f>
        <v>4560</v>
      </c>
      <c r="G37" s="23">
        <f>G18*'COGS and Revenue'!$G$13</f>
        <v>5700</v>
      </c>
      <c r="H37" s="23">
        <f>H18*'COGS and Revenue'!$G$13</f>
        <v>4560</v>
      </c>
      <c r="I37" s="23">
        <f>I18*'COGS and Revenue'!$G$13</f>
        <v>4560</v>
      </c>
      <c r="J37" s="23">
        <f>J18*'COGS and Revenue'!$G$13</f>
        <v>3990</v>
      </c>
      <c r="K37" s="23">
        <f>K18*'COGS and Revenue'!$G$13</f>
        <v>3420</v>
      </c>
      <c r="L37" s="23">
        <f>L18*'COGS and Revenue'!$G$13</f>
        <v>3990</v>
      </c>
      <c r="M37" s="23">
        <f>M18*'COGS and Revenue'!$G$13</f>
        <v>3420</v>
      </c>
      <c r="N37" s="23">
        <f>N18*'COGS and Revenue'!$G$13</f>
        <v>2850</v>
      </c>
      <c r="O37" s="23">
        <f>O18*'COGS and Revenue'!$G$13</f>
        <v>5130</v>
      </c>
      <c r="P37" s="23">
        <f>P18*'COGS and Revenue'!$G$13</f>
        <v>5700</v>
      </c>
      <c r="Q37" s="23">
        <f>Q18*'COGS and Revenue'!$G$13</f>
        <v>5700</v>
      </c>
      <c r="R37" s="23">
        <f>R18*'COGS and Revenue'!$G$13</f>
        <v>6840</v>
      </c>
      <c r="S37" s="23">
        <f>S18*'COGS and Revenue'!$G$13</f>
        <v>7410</v>
      </c>
      <c r="T37" s="23">
        <f>T18*'COGS and Revenue'!$G$13</f>
        <v>7410</v>
      </c>
      <c r="U37" s="23">
        <f>U18*'COGS and Revenue'!$G$13</f>
        <v>8550</v>
      </c>
      <c r="V37" s="23">
        <f>V18*'COGS and Revenue'!$G$13</f>
        <v>8550</v>
      </c>
      <c r="W37" s="23">
        <f>W18*'COGS and Revenue'!$G$13</f>
        <v>7980</v>
      </c>
      <c r="X37" s="23">
        <f>X18*'COGS and Revenue'!$G$13</f>
        <v>6840</v>
      </c>
      <c r="Y37" s="23">
        <f>Y18*'COGS and Revenue'!$G$13</f>
        <v>5130</v>
      </c>
      <c r="Z37" s="23">
        <f>Z18*'COGS and Revenue'!$G$13</f>
        <v>4560</v>
      </c>
      <c r="AA37" s="23">
        <f>AA18*'COGS and Revenue'!$G$13</f>
        <v>5700</v>
      </c>
      <c r="AB37" s="23">
        <f>AB18*'COGS and Revenue'!$G$13</f>
        <v>5700</v>
      </c>
      <c r="AC37" s="23">
        <f>AC18*'COGS and Revenue'!$G$13</f>
        <v>5700</v>
      </c>
      <c r="AD37" s="23">
        <f>AD18*'COGS and Revenue'!$G$13</f>
        <v>6840</v>
      </c>
      <c r="AE37" s="23">
        <f>AE18*'COGS and Revenue'!$G$13</f>
        <v>7410</v>
      </c>
      <c r="AF37" s="23">
        <f>AF18*'COGS and Revenue'!$G$13</f>
        <v>7410</v>
      </c>
      <c r="AG37" s="23">
        <f>AG18*'COGS and Revenue'!$G$13</f>
        <v>8550</v>
      </c>
      <c r="AH37" s="23">
        <f>AH18*'COGS and Revenue'!$G$13</f>
        <v>8550</v>
      </c>
      <c r="AI37" s="23">
        <f>AI18*'COGS and Revenue'!$G$13</f>
        <v>7980</v>
      </c>
      <c r="AJ37" s="23">
        <f>AJ18*'COGS and Revenue'!$G$13</f>
        <v>6840</v>
      </c>
      <c r="AK37" s="23">
        <f>AK18*'COGS and Revenue'!$G$13</f>
        <v>5130</v>
      </c>
      <c r="AL37" s="23">
        <f>AL18*'COGS and Revenue'!$G$13</f>
        <v>4560</v>
      </c>
      <c r="AM37" s="23">
        <f>AM18*'COGS and Revenue'!$G$13</f>
        <v>5700</v>
      </c>
    </row>
    <row r="38" spans="1:39">
      <c r="B38" s="82" t="s">
        <v>60</v>
      </c>
      <c r="C38" s="82"/>
      <c r="D38" s="23">
        <f>SUM(D35:D37)</f>
        <v>3885</v>
      </c>
      <c r="E38" s="23">
        <f t="shared" ref="E38:AM38" si="12">SUM(E35:E37)</f>
        <v>4408.5</v>
      </c>
      <c r="F38" s="23">
        <f t="shared" si="12"/>
        <v>4932</v>
      </c>
      <c r="G38" s="23">
        <f t="shared" si="12"/>
        <v>6165</v>
      </c>
      <c r="H38" s="23">
        <f t="shared" si="12"/>
        <v>4978.5</v>
      </c>
      <c r="I38" s="23">
        <f t="shared" si="12"/>
        <v>4932</v>
      </c>
      <c r="J38" s="23">
        <f t="shared" si="12"/>
        <v>4455</v>
      </c>
      <c r="K38" s="23">
        <f t="shared" si="12"/>
        <v>3838.5</v>
      </c>
      <c r="L38" s="23">
        <f t="shared" si="12"/>
        <v>4362</v>
      </c>
      <c r="M38" s="23">
        <f t="shared" si="12"/>
        <v>3885</v>
      </c>
      <c r="N38" s="23">
        <f t="shared" si="12"/>
        <v>3222</v>
      </c>
      <c r="O38" s="23">
        <f t="shared" si="12"/>
        <v>5502</v>
      </c>
      <c r="P38" s="23">
        <f t="shared" si="12"/>
        <v>6165</v>
      </c>
      <c r="Q38" s="23">
        <f t="shared" si="12"/>
        <v>6118.5</v>
      </c>
      <c r="R38" s="23">
        <f t="shared" si="12"/>
        <v>7212</v>
      </c>
      <c r="S38" s="23">
        <f t="shared" si="12"/>
        <v>7875</v>
      </c>
      <c r="T38" s="23">
        <f t="shared" si="12"/>
        <v>7828.5</v>
      </c>
      <c r="U38" s="23">
        <f t="shared" si="12"/>
        <v>8922</v>
      </c>
      <c r="V38" s="23">
        <f t="shared" si="12"/>
        <v>9015</v>
      </c>
      <c r="W38" s="23">
        <f t="shared" si="12"/>
        <v>8398.5</v>
      </c>
      <c r="X38" s="23">
        <f t="shared" si="12"/>
        <v>7212</v>
      </c>
      <c r="Y38" s="23">
        <f t="shared" si="12"/>
        <v>5595</v>
      </c>
      <c r="Z38" s="23">
        <f t="shared" si="12"/>
        <v>4932</v>
      </c>
      <c r="AA38" s="23">
        <f t="shared" si="12"/>
        <v>6072</v>
      </c>
      <c r="AB38" s="23">
        <f t="shared" si="12"/>
        <v>6165</v>
      </c>
      <c r="AC38" s="23">
        <f t="shared" si="12"/>
        <v>6118.5</v>
      </c>
      <c r="AD38" s="23">
        <f t="shared" si="12"/>
        <v>7212</v>
      </c>
      <c r="AE38" s="23">
        <f t="shared" si="12"/>
        <v>7875</v>
      </c>
      <c r="AF38" s="23">
        <f t="shared" si="12"/>
        <v>7828.5</v>
      </c>
      <c r="AG38" s="23">
        <f t="shared" si="12"/>
        <v>8922</v>
      </c>
      <c r="AH38" s="23">
        <f t="shared" si="12"/>
        <v>9015</v>
      </c>
      <c r="AI38" s="23">
        <f t="shared" si="12"/>
        <v>8398.5</v>
      </c>
      <c r="AJ38" s="23">
        <f t="shared" si="12"/>
        <v>7212</v>
      </c>
      <c r="AK38" s="23">
        <f t="shared" si="12"/>
        <v>5595</v>
      </c>
      <c r="AL38" s="23">
        <f t="shared" si="12"/>
        <v>4932</v>
      </c>
      <c r="AM38" s="23">
        <f t="shared" si="12"/>
        <v>6072</v>
      </c>
    </row>
    <row r="39" spans="1:39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99" t="s">
        <v>61</v>
      </c>
      <c r="O39" s="100">
        <f>SUM(D38:O38)</f>
        <v>54565.5</v>
      </c>
      <c r="Z39" s="82" t="s">
        <v>62</v>
      </c>
      <c r="AA39" s="100">
        <f>SUM(P38:AA38)</f>
        <v>85345.5</v>
      </c>
      <c r="AL39" s="82" t="s">
        <v>63</v>
      </c>
      <c r="AM39" s="100">
        <f>SUM(AB38:AM38)</f>
        <v>85345.5</v>
      </c>
    </row>
    <row r="40" spans="1:39">
      <c r="B40" s="82" t="s">
        <v>64</v>
      </c>
      <c r="C40" s="82"/>
      <c r="D40" s="23">
        <f t="shared" ref="D40:AM40" si="13">D28+D33+D38</f>
        <v>8540</v>
      </c>
      <c r="E40" s="23">
        <f t="shared" si="13"/>
        <v>18861</v>
      </c>
      <c r="F40" s="23">
        <f t="shared" si="13"/>
        <v>35154.5</v>
      </c>
      <c r="G40" s="23">
        <f t="shared" si="13"/>
        <v>27567.5</v>
      </c>
      <c r="H40" s="23">
        <f t="shared" si="13"/>
        <v>37451</v>
      </c>
      <c r="I40" s="23">
        <f t="shared" si="13"/>
        <v>22234.5</v>
      </c>
      <c r="J40" s="23">
        <f t="shared" si="13"/>
        <v>23957.5</v>
      </c>
      <c r="K40" s="23">
        <f t="shared" si="13"/>
        <v>25341</v>
      </c>
      <c r="L40" s="23">
        <f t="shared" si="13"/>
        <v>28014.5</v>
      </c>
      <c r="M40" s="23">
        <f t="shared" si="13"/>
        <v>30957.5</v>
      </c>
      <c r="N40" s="23">
        <f t="shared" si="13"/>
        <v>34494.5</v>
      </c>
      <c r="O40" s="23">
        <f t="shared" si="13"/>
        <v>37824.5</v>
      </c>
      <c r="P40" s="23">
        <f t="shared" si="13"/>
        <v>36257.5</v>
      </c>
      <c r="Q40" s="23">
        <f t="shared" si="13"/>
        <v>30902.25</v>
      </c>
      <c r="R40" s="23">
        <f t="shared" si="13"/>
        <v>52370.75</v>
      </c>
      <c r="S40" s="23">
        <f t="shared" si="13"/>
        <v>54340</v>
      </c>
      <c r="T40" s="23">
        <f t="shared" si="13"/>
        <v>60167.25</v>
      </c>
      <c r="U40" s="23">
        <f t="shared" si="13"/>
        <v>37268.25</v>
      </c>
      <c r="V40" s="23">
        <f t="shared" si="13"/>
        <v>55887.5</v>
      </c>
      <c r="W40" s="23">
        <f t="shared" si="13"/>
        <v>54321</v>
      </c>
      <c r="X40" s="23">
        <f t="shared" si="13"/>
        <v>59618.25</v>
      </c>
      <c r="Y40" s="23">
        <f t="shared" si="13"/>
        <v>29428.75</v>
      </c>
      <c r="Z40" s="23">
        <f t="shared" si="13"/>
        <v>48935.75</v>
      </c>
      <c r="AA40" s="23">
        <f t="shared" si="13"/>
        <v>38305.75</v>
      </c>
      <c r="AB40" s="23">
        <f t="shared" si="13"/>
        <v>52120</v>
      </c>
      <c r="AC40" s="23">
        <f t="shared" si="13"/>
        <v>87219.75</v>
      </c>
      <c r="AD40" s="23">
        <f t="shared" si="13"/>
        <v>70059.5</v>
      </c>
      <c r="AE40" s="23">
        <f t="shared" si="13"/>
        <v>72272.5</v>
      </c>
      <c r="AF40" s="23">
        <f t="shared" si="13"/>
        <v>89132.25</v>
      </c>
      <c r="AG40" s="23">
        <f t="shared" si="13"/>
        <v>75688.25</v>
      </c>
      <c r="AH40" s="23">
        <f t="shared" si="13"/>
        <v>79986.25</v>
      </c>
      <c r="AI40" s="23">
        <f t="shared" si="13"/>
        <v>72908.5</v>
      </c>
      <c r="AJ40" s="23">
        <f t="shared" si="13"/>
        <v>86615.75</v>
      </c>
      <c r="AK40" s="23">
        <f t="shared" si="13"/>
        <v>70448.75</v>
      </c>
      <c r="AL40" s="23">
        <f t="shared" si="13"/>
        <v>65879.5</v>
      </c>
      <c r="AM40" s="23">
        <f t="shared" si="13"/>
        <v>60400.75</v>
      </c>
    </row>
    <row r="41" spans="1:39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39">
      <c r="B42" s="82" t="s">
        <v>24</v>
      </c>
      <c r="C42" s="82"/>
      <c r="D42" s="23">
        <v>250</v>
      </c>
      <c r="E42" s="23">
        <v>300</v>
      </c>
      <c r="F42" s="23">
        <v>400</v>
      </c>
      <c r="G42" s="23">
        <v>500</v>
      </c>
      <c r="H42" s="23">
        <v>500</v>
      </c>
      <c r="I42" s="23">
        <v>300</v>
      </c>
      <c r="J42" s="23">
        <v>350</v>
      </c>
      <c r="K42" s="23">
        <v>350</v>
      </c>
      <c r="L42" s="23">
        <v>500</v>
      </c>
      <c r="M42" s="23">
        <v>300</v>
      </c>
      <c r="N42" s="23">
        <v>400</v>
      </c>
      <c r="O42" s="23">
        <v>300</v>
      </c>
      <c r="P42" s="23">
        <v>600</v>
      </c>
      <c r="Q42" s="23">
        <v>600</v>
      </c>
      <c r="R42" s="23">
        <v>700</v>
      </c>
      <c r="S42" s="23">
        <v>700</v>
      </c>
      <c r="T42" s="23">
        <v>700</v>
      </c>
      <c r="U42" s="23">
        <v>700</v>
      </c>
      <c r="V42" s="23">
        <v>700</v>
      </c>
      <c r="W42" s="23">
        <v>600</v>
      </c>
      <c r="X42" s="23">
        <v>600</v>
      </c>
      <c r="Y42" s="23">
        <v>600</v>
      </c>
      <c r="Z42" s="23">
        <v>600</v>
      </c>
      <c r="AA42" s="23">
        <v>600</v>
      </c>
      <c r="AB42" s="23">
        <v>650</v>
      </c>
      <c r="AC42" s="23">
        <v>700</v>
      </c>
      <c r="AD42" s="23">
        <v>800</v>
      </c>
      <c r="AE42" s="23">
        <v>900</v>
      </c>
      <c r="AF42" s="23">
        <v>900</v>
      </c>
      <c r="AG42" s="23">
        <v>1000</v>
      </c>
      <c r="AH42" s="23">
        <v>1000</v>
      </c>
      <c r="AI42" s="23">
        <v>1000</v>
      </c>
      <c r="AJ42" s="23">
        <v>800</v>
      </c>
      <c r="AK42" s="23">
        <v>800</v>
      </c>
      <c r="AL42" s="23">
        <v>900</v>
      </c>
      <c r="AM42" s="23">
        <v>800</v>
      </c>
    </row>
    <row r="43" spans="1:39" ht="13.5" thickBot="1"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99" t="s">
        <v>65</v>
      </c>
      <c r="O43" s="100">
        <f>SUM(D42:O42)</f>
        <v>4450</v>
      </c>
      <c r="Z43" s="82" t="s">
        <v>66</v>
      </c>
      <c r="AA43" s="100">
        <f>SUM(P42:AA42)</f>
        <v>7700</v>
      </c>
      <c r="AL43" s="82" t="s">
        <v>66</v>
      </c>
      <c r="AM43" s="100">
        <f>SUM(AB42:AM42)</f>
        <v>10250</v>
      </c>
    </row>
    <row r="44" spans="1:39" ht="13.5" thickBot="1">
      <c r="B44" s="82" t="s">
        <v>67</v>
      </c>
      <c r="C44" s="82"/>
      <c r="D44" s="101">
        <f>D40+D42</f>
        <v>8790</v>
      </c>
      <c r="E44" s="101">
        <f t="shared" ref="E44:AM44" si="14">E40+E42</f>
        <v>19161</v>
      </c>
      <c r="F44" s="101">
        <f t="shared" si="14"/>
        <v>35554.5</v>
      </c>
      <c r="G44" s="101">
        <f t="shared" si="14"/>
        <v>28067.5</v>
      </c>
      <c r="H44" s="101">
        <f t="shared" si="14"/>
        <v>37951</v>
      </c>
      <c r="I44" s="101">
        <f t="shared" si="14"/>
        <v>22534.5</v>
      </c>
      <c r="J44" s="101">
        <f t="shared" si="14"/>
        <v>24307.5</v>
      </c>
      <c r="K44" s="101">
        <f t="shared" si="14"/>
        <v>25691</v>
      </c>
      <c r="L44" s="101">
        <f t="shared" si="14"/>
        <v>28514.5</v>
      </c>
      <c r="M44" s="101">
        <f t="shared" si="14"/>
        <v>31257.5</v>
      </c>
      <c r="N44" s="101">
        <f t="shared" si="14"/>
        <v>34894.5</v>
      </c>
      <c r="O44" s="101">
        <f t="shared" si="14"/>
        <v>38124.5</v>
      </c>
      <c r="P44" s="101">
        <f t="shared" si="14"/>
        <v>36857.5</v>
      </c>
      <c r="Q44" s="101">
        <f t="shared" si="14"/>
        <v>31502.25</v>
      </c>
      <c r="R44" s="101">
        <f t="shared" si="14"/>
        <v>53070.75</v>
      </c>
      <c r="S44" s="101">
        <f t="shared" si="14"/>
        <v>55040</v>
      </c>
      <c r="T44" s="101">
        <f t="shared" si="14"/>
        <v>60867.25</v>
      </c>
      <c r="U44" s="101">
        <f t="shared" si="14"/>
        <v>37968.25</v>
      </c>
      <c r="V44" s="101">
        <f t="shared" si="14"/>
        <v>56587.5</v>
      </c>
      <c r="W44" s="101">
        <f t="shared" si="14"/>
        <v>54921</v>
      </c>
      <c r="X44" s="101">
        <f t="shared" si="14"/>
        <v>60218.25</v>
      </c>
      <c r="Y44" s="101">
        <f t="shared" si="14"/>
        <v>30028.75</v>
      </c>
      <c r="Z44" s="101">
        <f t="shared" si="14"/>
        <v>49535.75</v>
      </c>
      <c r="AA44" s="102">
        <f t="shared" si="14"/>
        <v>38905.75</v>
      </c>
      <c r="AB44" s="101">
        <f t="shared" si="14"/>
        <v>52770</v>
      </c>
      <c r="AC44" s="101">
        <f t="shared" si="14"/>
        <v>87919.75</v>
      </c>
      <c r="AD44" s="101">
        <f t="shared" si="14"/>
        <v>70859.5</v>
      </c>
      <c r="AE44" s="101">
        <f t="shared" si="14"/>
        <v>73172.5</v>
      </c>
      <c r="AF44" s="101">
        <f t="shared" si="14"/>
        <v>90032.25</v>
      </c>
      <c r="AG44" s="101">
        <f t="shared" si="14"/>
        <v>76688.25</v>
      </c>
      <c r="AH44" s="101">
        <f t="shared" si="14"/>
        <v>80986.25</v>
      </c>
      <c r="AI44" s="101">
        <f t="shared" si="14"/>
        <v>73908.5</v>
      </c>
      <c r="AJ44" s="101">
        <f t="shared" si="14"/>
        <v>87415.75</v>
      </c>
      <c r="AK44" s="101">
        <f t="shared" si="14"/>
        <v>71248.75</v>
      </c>
      <c r="AL44" s="101">
        <f t="shared" si="14"/>
        <v>66779.5</v>
      </c>
      <c r="AM44" s="102">
        <f t="shared" si="14"/>
        <v>61200.75</v>
      </c>
    </row>
    <row r="45" spans="1:39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39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 t="s">
        <v>68</v>
      </c>
      <c r="O46" s="100">
        <f>SUM(D44:O44)</f>
        <v>334848</v>
      </c>
      <c r="Z46" s="1" t="s">
        <v>40</v>
      </c>
      <c r="AA46" s="100">
        <f>SUM(P44:AA44)</f>
        <v>565503</v>
      </c>
      <c r="AL46" s="82" t="s">
        <v>69</v>
      </c>
      <c r="AM46" s="100">
        <f>SUM(AB44:AM44)</f>
        <v>892981.75</v>
      </c>
    </row>
    <row r="48" spans="1:39">
      <c r="A48" s="1" t="s">
        <v>296</v>
      </c>
      <c r="C48" s="1">
        <f>C3*'COGS and Revenue'!C11+3156.61</f>
        <v>5514.1100000000006</v>
      </c>
      <c r="D48" s="106">
        <f>(D3*'COGS and Revenue'!$C$11)-((D9+D19)*('COGS and Revenue'!$C$11+'COGS and Revenue'!$C$16))-((D14*('COGS and Revenue'!$C$11+'COGS and Revenue'!$C$23)))+C48+'Profit and Loss'!I11</f>
        <v>9054.8850042666672</v>
      </c>
      <c r="E48" s="106">
        <f>(E3*'COGS and Revenue'!$C$11)-((E9+E19)*('COGS and Revenue'!$C$11+'COGS and Revenue'!$C$16))-(E11*('COGS and Revenue'!$C$11+'COGS and Revenue'!$C$23))-(E12*('COGS and Revenue'!$C$11+'COGS and Revenue'!$C$30))+D48+'Profit and Loss'!J11</f>
        <v>11911.210014933335</v>
      </c>
      <c r="F48" s="106">
        <f>(F3*'COGS and Revenue'!$C$11)-((F9+F19)*('COGS and Revenue'!$C$11+'COGS and Revenue'!$C$16))-(F11*('COGS and Revenue'!$C$11+'COGS and Revenue'!$C$23))-(F12*('COGS and Revenue'!$C$11+'COGS and Revenue'!$C$30))+E48+'Profit and Loss'!K11</f>
        <v>9906.3150256000008</v>
      </c>
      <c r="G48" s="106">
        <f>(G3*'COGS and Revenue'!$C$11)-((G9+G19)*('COGS and Revenue'!$C$11+'COGS and Revenue'!$C$16))-(G11*('COGS and Revenue'!$C$11+'COGS and Revenue'!$C$23))-(G12*('COGS and Revenue'!$C$11+'COGS and Revenue'!$C$30))+F48+'Profit and Loss'!L11</f>
        <v>10909.380036266668</v>
      </c>
      <c r="H48" s="106">
        <f>(H3*'COGS and Revenue'!$C$11)-((H9+H19)*('COGS and Revenue'!$C$11+'COGS and Revenue'!$C$16))-(H11*('COGS and Revenue'!$C$11+'COGS and Revenue'!$C$23))-(H12*('COGS and Revenue'!$C$11+'COGS and Revenue'!$C$30))+G48+'Profit and Loss'!M11</f>
        <v>10579.035046933335</v>
      </c>
      <c r="I48" s="106">
        <f>(I3*'COGS and Revenue'!$C$11)-((I9+I19)*('COGS and Revenue'!$C$11+'COGS and Revenue'!$C$16))-(I11*('COGS and Revenue'!$C$11+'COGS and Revenue'!$C$23))-(I12*('COGS and Revenue'!$C$11+'COGS and Revenue'!$C$30))+H48+'Profit and Loss'!N11</f>
        <v>14069.540057600003</v>
      </c>
      <c r="J48" s="106">
        <f>(J3*'COGS and Revenue'!$C$11)-((J9+J19)*('COGS and Revenue'!$C$11+'COGS and Revenue'!$C$16))-(J11*('COGS and Revenue'!$C$11+'COGS and Revenue'!$C$23))-(J12*('COGS and Revenue'!$C$11+'COGS and Revenue'!$C$30))+I48+'Profit and Loss'!O11</f>
        <v>17592.61506826667</v>
      </c>
      <c r="K48" s="106">
        <f>(K3*'COGS and Revenue'!$C$11)-((K9+K19)*('COGS and Revenue'!$C$11+'COGS and Revenue'!$C$16))-(K11*('COGS and Revenue'!$C$11+'COGS and Revenue'!$C$23))-(K12*('COGS and Revenue'!$C$11+'COGS and Revenue'!$C$30))+J48+'Profit and Loss'!P11</f>
        <v>20676.760078933337</v>
      </c>
      <c r="L48" s="106">
        <f>(L3*'COGS and Revenue'!$C$11)-((L9+L19)*('COGS and Revenue'!$C$11+'COGS and Revenue'!$C$16))-(L11*('COGS and Revenue'!$C$11+'COGS and Revenue'!$C$23))-(L12*('COGS and Revenue'!$C$11+'COGS and Revenue'!$C$30))+K48+'Profit and Loss'!Q11</f>
        <v>24443.685089600003</v>
      </c>
      <c r="M48" s="106">
        <f>(M3*'COGS and Revenue'!$C$11)-((M9+M19)*('COGS and Revenue'!$C$11+'COGS and Revenue'!$C$16))-(M11*('COGS and Revenue'!$C$11+'COGS and Revenue'!$C$23))-(M12*('COGS and Revenue'!$C$11+'COGS and Revenue'!$C$30))+L48+'Profit and Loss'!R11</f>
        <v>25153.88010026667</v>
      </c>
      <c r="N48" s="106">
        <f>(N3*'COGS and Revenue'!$C$11)-((N9+N19)*('COGS and Revenue'!$C$11+'COGS and Revenue'!$C$16))-(N11*('COGS and Revenue'!$C$11+'COGS and Revenue'!$C$23))-(N12*('COGS and Revenue'!$C$11+'COGS and Revenue'!$C$30))+M48+'Profit and Loss'!S11</f>
        <v>25880.445110933335</v>
      </c>
      <c r="O48" s="106">
        <f>(O3*'COGS and Revenue'!$C$11)-((O9+O19)*('COGS and Revenue'!$C$11+'COGS and Revenue'!$C$16))-(O11*('COGS and Revenue'!$C$11+'COGS and Revenue'!$C$23))-(O12*('COGS and Revenue'!$C$11+'COGS and Revenue'!$C$30))+N48+'Profit and Loss'!T11</f>
        <v>27582.580121600004</v>
      </c>
      <c r="P48" s="106">
        <f>(P3*'COGS and Revenue'!$C$11)-((P9+P19)*('COGS and Revenue'!$C$11+'COGS and Revenue'!$C$16))-(P11*('COGS and Revenue'!$C$11+'COGS and Revenue'!$C$23))-(P12*('COGS and Revenue'!$C$11+'COGS and Revenue'!$C$30))+O48+'Profit and Loss'!U11</f>
        <v>28999.34513937778</v>
      </c>
      <c r="Q48" s="106">
        <f>(Q3*'COGS and Revenue'!$C$11)-((Q9+Q19)*('COGS and Revenue'!$C$11+'COGS and Revenue'!$C$16))-(Q11*('COGS and Revenue'!$C$11+'COGS and Revenue'!$C$23))-(Q12*('COGS and Revenue'!$C$11+'COGS and Revenue'!$C$30))+P48+'Profit and Loss'!V11</f>
        <v>35340.335158933332</v>
      </c>
      <c r="R48" s="106">
        <f>(R3*'COGS and Revenue'!$C$11)-((R9+R19)*('COGS and Revenue'!$C$11+'COGS and Revenue'!$C$16))-(R11*('COGS and Revenue'!$C$11+'COGS and Revenue'!$C$23))-(R12*('COGS and Revenue'!$C$11+'COGS and Revenue'!$C$30))+Q48+'Profit and Loss'!W11</f>
        <v>34917.885178488883</v>
      </c>
      <c r="S48" s="106">
        <f>(S3*'COGS and Revenue'!$C$11)-((S9+S19)*('COGS and Revenue'!$C$11+'COGS and Revenue'!$C$16))-(S11*('COGS and Revenue'!$C$11+'COGS and Revenue'!$C$23))-(S12*('COGS and Revenue'!$C$11+'COGS and Revenue'!$C$30))+R48+'Profit and Loss'!X11</f>
        <v>34330.640199822214</v>
      </c>
      <c r="T48" s="106">
        <f>(T3*'COGS and Revenue'!$C$11)-((T9+T19)*('COGS and Revenue'!$C$11+'COGS and Revenue'!$C$16))-(T11*('COGS and Revenue'!$C$11+'COGS and Revenue'!$C$23))-(T12*('COGS and Revenue'!$C$11+'COGS and Revenue'!$C$30))+S48+'Profit and Loss'!Y11</f>
        <v>36802.370219377772</v>
      </c>
      <c r="U48" s="106">
        <f>(U3*'COGS and Revenue'!$C$11)-((U9+U19)*('COGS and Revenue'!$C$11+'COGS and Revenue'!$C$16))-(U11*('COGS and Revenue'!$C$11+'COGS and Revenue'!$C$23))-(U12*('COGS and Revenue'!$C$11+'COGS and Revenue'!$C$30))+T48+'Profit and Loss'!Z11</f>
        <v>45724.110242488881</v>
      </c>
      <c r="V48" s="106">
        <f>(V3*'COGS and Revenue'!$C$11)-((V9+V19)*('COGS and Revenue'!$C$11+'COGS and Revenue'!$C$16))-(V11*('COGS and Revenue'!$C$11+'COGS and Revenue'!$C$23))-(V12*('COGS and Revenue'!$C$11+'COGS and Revenue'!$C$30))+U48+'Profit and Loss'!AA11</f>
        <v>49473.525267377772</v>
      </c>
      <c r="W48" s="106">
        <f>(W3*'COGS and Revenue'!$C$11)-((W9+W19)*('COGS and Revenue'!$C$11+'COGS and Revenue'!$C$16))-(W11*('COGS and Revenue'!$C$11+'COGS and Revenue'!$C$23))-(W12*('COGS and Revenue'!$C$11+'COGS and Revenue'!$C$30))+V48+'Profit and Loss'!AB11</f>
        <v>53987.060292266659</v>
      </c>
      <c r="X48" s="106">
        <f>(X3*'COGS and Revenue'!$C$11)-((X9+X19)*('COGS and Revenue'!$C$11+'COGS and Revenue'!$C$16))-(X11*('COGS and Revenue'!$C$11+'COGS and Revenue'!$C$23))-(X12*('COGS and Revenue'!$C$11+'COGS and Revenue'!$C$30))+W48+'Profit and Loss'!AC11</f>
        <v>60844.010315377767</v>
      </c>
      <c r="Y48" s="106">
        <f>(Y3*'COGS and Revenue'!$C$11)-((Y9+Y19)*('COGS and Revenue'!$C$11+'COGS and Revenue'!$C$16))-(Y11*('COGS and Revenue'!$C$11+'COGS and Revenue'!$C$23))-(Y12*('COGS and Revenue'!$C$11+'COGS and Revenue'!$C$30))+X48+'Profit and Loss'!AD11</f>
        <v>75021.620334933323</v>
      </c>
      <c r="Z48" s="106">
        <f>(Z3*'COGS and Revenue'!$C$11)-((Z9+Z19)*('COGS and Revenue'!$C$11+'COGS and Revenue'!$C$16))-(Z11*('COGS and Revenue'!$C$11+'COGS and Revenue'!$C$23))-(Z12*('COGS and Revenue'!$C$11+'COGS and Revenue'!$C$30))+Y48+'Profit and Loss'!AE11+1733.36</f>
        <v>84722.010354488884</v>
      </c>
      <c r="AA48" s="106">
        <f>(AA3*'COGS and Revenue'!$C$11)-((AA9+AA19)*('COGS and Revenue'!$C$11+'COGS and Revenue'!$C$16))-(AA11*('COGS and Revenue'!$C$11+'COGS and Revenue'!$C$23))-(AA12*('COGS and Revenue'!$C$11+'COGS and Revenue'!$C$30))+Z48+'Profit and Loss'!AF11</f>
        <v>96900.05037404444</v>
      </c>
      <c r="AB48" s="106">
        <f>(AB3*'COGS and Revenue'!$C$11)-((AB9+AB19)*('COGS and Revenue'!$C$11+'COGS and Revenue'!$C$16))-(AB11*('COGS and Revenue'!$C$11+'COGS and Revenue'!$C$23))-(AB12*('COGS and Revenue'!$C$11+'COGS and Revenue'!$C$30))+AA48+'Profit and Loss'!AG11</f>
        <v>103401.71539537777</v>
      </c>
      <c r="AC48" s="106">
        <f>(AC3*'COGS and Revenue'!$C$11)-((AC9+AC19)*('COGS and Revenue'!$C$11+'COGS and Revenue'!$C$16))-(AC11*('COGS and Revenue'!$C$11+'COGS and Revenue'!$C$23))-(AC12*('COGS and Revenue'!$C$11+'COGS and Revenue'!$C$30))+AB48+'Profit and Loss'!AH11</f>
        <v>102161.85541848888</v>
      </c>
      <c r="AD48" s="106">
        <f>(AD3*'COGS and Revenue'!$C$11)-((AD9+AD19)*('COGS and Revenue'!$C$11+'COGS and Revenue'!$C$16))-(AD11*('COGS and Revenue'!$C$11+'COGS and Revenue'!$C$23))-(AD12*('COGS and Revenue'!$C$11+'COGS and Revenue'!$C$30))+AC48+'Profit and Loss'!AI11</f>
        <v>102253.08044337777</v>
      </c>
      <c r="AE48" s="106">
        <f>(AE3*'COGS and Revenue'!$C$11)-((AE9+AE19)*('COGS and Revenue'!$C$11+'COGS and Revenue'!$C$16))-(AE11*('COGS and Revenue'!$C$11+'COGS and Revenue'!$C$23))-(AE12*('COGS and Revenue'!$C$11+'COGS and Revenue'!$C$30))+AD48+'Profit and Loss'!AJ11</f>
        <v>103937.68546826666</v>
      </c>
      <c r="AF48" s="106">
        <f>(AF3*'COGS and Revenue'!$C$11)-((AF9+AF19)*('COGS and Revenue'!$C$11+'COGS and Revenue'!$C$16))-(AF11*('COGS and Revenue'!$C$11+'COGS and Revenue'!$C$23))-(AF12*('COGS and Revenue'!$C$11+'COGS and Revenue'!$C$30))+AE48+'Profit and Loss'!AK11</f>
        <v>105034.76549493332</v>
      </c>
      <c r="AG48" s="106">
        <f>(AG3*'COGS and Revenue'!$C$11)-((AG9+AG19)*('COGS and Revenue'!$C$11+'COGS and Revenue'!$C$16))-(AG11*('COGS and Revenue'!$C$11+'COGS and Revenue'!$C$23))-(AG12*('COGS and Revenue'!$C$11+'COGS and Revenue'!$C$30))+AF48+'Profit and Loss'!AL11</f>
        <v>109818.10552515555</v>
      </c>
      <c r="AH48" s="106">
        <f>(AH3*'COGS and Revenue'!$C$11)-((AH9+AH19)*('COGS and Revenue'!$C$11+'COGS and Revenue'!$C$16))-(AH11*('COGS and Revenue'!$C$11+'COGS and Revenue'!$C$23))-(AH12*('COGS and Revenue'!$C$11+'COGS and Revenue'!$C$30))+AG48+'Profit and Loss'!AM11</f>
        <v>113219.49555537777</v>
      </c>
      <c r="AI48" s="106">
        <f>(AI3*'COGS and Revenue'!$C$11)-((AI9+AI19)*('COGS and Revenue'!$C$11+'COGS and Revenue'!$C$16))-(AI11*('COGS and Revenue'!$C$11+'COGS and Revenue'!$C$23))-(AI12*('COGS and Revenue'!$C$11+'COGS and Revenue'!$C$30))+AH48+'Profit and Loss'!AN11</f>
        <v>119825.98058382221</v>
      </c>
      <c r="AJ48" s="106">
        <f>(AJ3*'COGS and Revenue'!$C$11)-((AJ9+AJ19)*('COGS and Revenue'!$C$11+'COGS and Revenue'!$C$16))-(AJ11*('COGS and Revenue'!$C$11+'COGS and Revenue'!$C$23))-(AJ12*('COGS and Revenue'!$C$11+'COGS and Revenue'!$C$30))+AI48+'Profit and Loss'!AO11</f>
        <v>128532.03061048887</v>
      </c>
      <c r="AK48" s="106">
        <f>(AK3*'COGS and Revenue'!$C$11)-((AK9+AK19)*('COGS and Revenue'!$C$11+'COGS and Revenue'!$C$16))-(AK11*('COGS and Revenue'!$C$11+'COGS and Revenue'!$C$23))-(AK12*('COGS and Revenue'!$C$11+'COGS and Revenue'!$C$30))+AJ48+'Profit and Loss'!AP11</f>
        <v>137140.54063715553</v>
      </c>
      <c r="AL48" s="106">
        <f>(AL3*'COGS and Revenue'!$C$11)-((AL9+AL19)*('COGS and Revenue'!$C$11+'COGS and Revenue'!$C$16))-(AL11*('COGS and Revenue'!$C$11+'COGS and Revenue'!$C$23))-(AL12*('COGS and Revenue'!$C$11+'COGS and Revenue'!$C$30))+AK48+'Profit and Loss'!AQ11+31387.83</f>
        <v>178260.87566204445</v>
      </c>
      <c r="AM48" s="106">
        <f>(AM3*'COGS and Revenue'!$C$11)-((AM9+AM19)*('COGS and Revenue'!$C$11+'COGS and Revenue'!$C$16))-(AM11*('COGS and Revenue'!$C$11+'COGS and Revenue'!$C$23))-(AM12*('COGS and Revenue'!$C$11+'COGS and Revenue'!$C$30))+AL48+'Profit and Loss'!AR11</f>
        <v>192422.4856816</v>
      </c>
    </row>
    <row r="49" spans="4:16"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8"/>
  <sheetViews>
    <sheetView workbookViewId="0">
      <pane xSplit="1" ySplit="1" topLeftCell="AK2" activePane="bottomRight" state="frozen"/>
      <selection pane="topRight" activeCell="B1" sqref="B1"/>
      <selection pane="bottomLeft" activeCell="A3" sqref="A3"/>
      <selection pane="bottomRight" activeCell="B37" sqref="B37"/>
    </sheetView>
  </sheetViews>
  <sheetFormatPr defaultColWidth="8.85546875" defaultRowHeight="12.75"/>
  <cols>
    <col min="1" max="1" width="24" customWidth="1"/>
    <col min="2" max="44" width="12.28515625" customWidth="1"/>
  </cols>
  <sheetData>
    <row r="1" spans="1:44">
      <c r="A1" s="11" t="s">
        <v>20</v>
      </c>
      <c r="B1" s="6">
        <v>-6</v>
      </c>
      <c r="C1" s="6">
        <f>B1+1</f>
        <v>-5</v>
      </c>
      <c r="D1" s="6">
        <f t="shared" ref="D1:AR1" si="0">C1+1</f>
        <v>-4</v>
      </c>
      <c r="E1" s="6">
        <f t="shared" si="0"/>
        <v>-3</v>
      </c>
      <c r="F1" s="6">
        <f t="shared" si="0"/>
        <v>-2</v>
      </c>
      <c r="G1" s="6">
        <f t="shared" si="0"/>
        <v>-1</v>
      </c>
      <c r="H1" s="6">
        <f t="shared" si="0"/>
        <v>0</v>
      </c>
      <c r="I1" s="6">
        <f t="shared" si="0"/>
        <v>1</v>
      </c>
      <c r="J1" s="6">
        <f t="shared" si="0"/>
        <v>2</v>
      </c>
      <c r="K1" s="6">
        <f t="shared" si="0"/>
        <v>3</v>
      </c>
      <c r="L1" s="6">
        <f t="shared" si="0"/>
        <v>4</v>
      </c>
      <c r="M1" s="6">
        <f t="shared" si="0"/>
        <v>5</v>
      </c>
      <c r="N1" s="6">
        <f t="shared" si="0"/>
        <v>6</v>
      </c>
      <c r="O1" s="6">
        <f t="shared" si="0"/>
        <v>7</v>
      </c>
      <c r="P1" s="6">
        <f t="shared" si="0"/>
        <v>8</v>
      </c>
      <c r="Q1" s="6">
        <f t="shared" si="0"/>
        <v>9</v>
      </c>
      <c r="R1" s="6">
        <f t="shared" si="0"/>
        <v>10</v>
      </c>
      <c r="S1" s="6">
        <f t="shared" si="0"/>
        <v>11</v>
      </c>
      <c r="T1" s="6">
        <f t="shared" si="0"/>
        <v>12</v>
      </c>
      <c r="U1" s="6">
        <f t="shared" si="0"/>
        <v>13</v>
      </c>
      <c r="V1" s="6">
        <f t="shared" si="0"/>
        <v>14</v>
      </c>
      <c r="W1" s="6">
        <f t="shared" si="0"/>
        <v>15</v>
      </c>
      <c r="X1" s="6">
        <f t="shared" si="0"/>
        <v>16</v>
      </c>
      <c r="Y1" s="6">
        <f t="shared" si="0"/>
        <v>17</v>
      </c>
      <c r="Z1" s="6">
        <f t="shared" si="0"/>
        <v>18</v>
      </c>
      <c r="AA1" s="6">
        <f t="shared" si="0"/>
        <v>19</v>
      </c>
      <c r="AB1" s="6">
        <f t="shared" si="0"/>
        <v>20</v>
      </c>
      <c r="AC1" s="6">
        <f t="shared" si="0"/>
        <v>21</v>
      </c>
      <c r="AD1" s="6">
        <f t="shared" si="0"/>
        <v>22</v>
      </c>
      <c r="AE1" s="6">
        <f t="shared" si="0"/>
        <v>23</v>
      </c>
      <c r="AF1" s="6">
        <f t="shared" si="0"/>
        <v>24</v>
      </c>
      <c r="AG1" s="6">
        <f t="shared" si="0"/>
        <v>25</v>
      </c>
      <c r="AH1" s="6">
        <f t="shared" si="0"/>
        <v>26</v>
      </c>
      <c r="AI1" s="6">
        <f t="shared" si="0"/>
        <v>27</v>
      </c>
      <c r="AJ1" s="6">
        <f t="shared" si="0"/>
        <v>28</v>
      </c>
      <c r="AK1" s="6">
        <f t="shared" si="0"/>
        <v>29</v>
      </c>
      <c r="AL1" s="6">
        <f t="shared" si="0"/>
        <v>30</v>
      </c>
      <c r="AM1" s="6">
        <f t="shared" si="0"/>
        <v>31</v>
      </c>
      <c r="AN1" s="6">
        <f t="shared" si="0"/>
        <v>32</v>
      </c>
      <c r="AO1" s="6">
        <f t="shared" si="0"/>
        <v>33</v>
      </c>
      <c r="AP1" s="6">
        <f t="shared" si="0"/>
        <v>34</v>
      </c>
      <c r="AQ1" s="6">
        <f t="shared" si="0"/>
        <v>35</v>
      </c>
      <c r="AR1" s="6">
        <f t="shared" si="0"/>
        <v>36</v>
      </c>
    </row>
    <row r="2" spans="1:44">
      <c r="A2" s="1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>
      <c r="A3" s="13" t="s">
        <v>22</v>
      </c>
      <c r="B3" s="7"/>
      <c r="C3" s="7"/>
      <c r="D3" s="7"/>
      <c r="E3" s="7"/>
      <c r="F3" s="7"/>
      <c r="G3" s="7"/>
      <c r="H3" s="7"/>
      <c r="I3" s="7">
        <f>'Sales Forecast'!D28</f>
        <v>3800</v>
      </c>
      <c r="J3" s="7">
        <f>'Sales Forecast'!E28</f>
        <v>5700</v>
      </c>
      <c r="K3" s="7">
        <f>'Sales Forecast'!F28</f>
        <v>12650</v>
      </c>
      <c r="L3" s="7">
        <f>'Sales Forecast'!G28</f>
        <v>12650</v>
      </c>
      <c r="M3" s="7">
        <f>'Sales Forecast'!H28</f>
        <v>9500</v>
      </c>
      <c r="N3" s="7">
        <f>'Sales Forecast'!I28</f>
        <v>8550</v>
      </c>
      <c r="O3" s="7">
        <f>'Sales Forecast'!J28</f>
        <v>10750</v>
      </c>
      <c r="P3" s="7">
        <f>'Sales Forecast'!K28</f>
        <v>12750</v>
      </c>
      <c r="Q3" s="7">
        <f>'Sales Forecast'!L28</f>
        <v>9500</v>
      </c>
      <c r="R3" s="7">
        <f>'Sales Forecast'!M28</f>
        <v>9500</v>
      </c>
      <c r="S3" s="7">
        <f>'Sales Forecast'!N28</f>
        <v>13700</v>
      </c>
      <c r="T3" s="7">
        <f>'Sales Forecast'!O28</f>
        <v>14750</v>
      </c>
      <c r="U3" s="7">
        <f>'Sales Forecast'!P28</f>
        <v>13300</v>
      </c>
      <c r="V3" s="7">
        <f>'Sales Forecast'!Q28</f>
        <v>14250</v>
      </c>
      <c r="W3" s="7">
        <f>'Sales Forecast'!R28</f>
        <v>23600</v>
      </c>
      <c r="X3" s="7">
        <f>'Sales Forecast'!S28</f>
        <v>24550</v>
      </c>
      <c r="Y3" s="7">
        <f>'Sales Forecast'!T28</f>
        <v>26550</v>
      </c>
      <c r="Z3" s="7">
        <f>'Sales Forecast'!U28</f>
        <v>17100</v>
      </c>
      <c r="AA3" s="7">
        <f>'Sales Forecast'!V28</f>
        <v>26450</v>
      </c>
      <c r="AB3" s="7">
        <f>'Sales Forecast'!W28</f>
        <v>25500</v>
      </c>
      <c r="AC3" s="7">
        <f>'Sales Forecast'!X28</f>
        <v>23700</v>
      </c>
      <c r="AD3" s="7">
        <f>'Sales Forecast'!Y28</f>
        <v>13300</v>
      </c>
      <c r="AE3" s="7">
        <f>'Sales Forecast'!Z28</f>
        <v>24650</v>
      </c>
      <c r="AF3" s="7">
        <f>'Sales Forecast'!AA28</f>
        <v>21700</v>
      </c>
      <c r="AG3" s="7">
        <f>'Sales Forecast'!AB28</f>
        <v>28450</v>
      </c>
      <c r="AH3" s="7">
        <f>'Sales Forecast'!AC28</f>
        <v>29400</v>
      </c>
      <c r="AI3" s="7">
        <f>'Sales Forecast'!AD28</f>
        <v>31400</v>
      </c>
      <c r="AJ3" s="7">
        <f>'Sales Forecast'!AE28</f>
        <v>32950</v>
      </c>
      <c r="AK3" s="7">
        <f>'Sales Forecast'!AF28</f>
        <v>33300</v>
      </c>
      <c r="AL3" s="7">
        <f>'Sales Forecast'!AG28</f>
        <v>34250</v>
      </c>
      <c r="AM3" s="7">
        <f>'Sales Forecast'!AH28</f>
        <v>36250</v>
      </c>
      <c r="AN3" s="7">
        <f>'Sales Forecast'!AI28</f>
        <v>32350</v>
      </c>
      <c r="AO3" s="7">
        <f>'Sales Forecast'!AJ28</f>
        <v>31400</v>
      </c>
      <c r="AP3" s="7">
        <f>'Sales Forecast'!AK28</f>
        <v>33050</v>
      </c>
      <c r="AQ3" s="7">
        <f>'Sales Forecast'!AL28</f>
        <v>29500</v>
      </c>
      <c r="AR3" s="7">
        <f>'Sales Forecast'!AM28</f>
        <v>28360</v>
      </c>
    </row>
    <row r="4" spans="1:44">
      <c r="A4" s="13" t="s">
        <v>23</v>
      </c>
      <c r="B4" s="7"/>
      <c r="C4" s="7"/>
      <c r="D4" s="7"/>
      <c r="E4" s="7"/>
      <c r="F4" s="7"/>
      <c r="G4" s="7"/>
      <c r="H4" s="7"/>
      <c r="I4" s="7">
        <f>'Sales Forecast'!D33</f>
        <v>855</v>
      </c>
      <c r="J4" s="7">
        <f>'Sales Forecast'!E33</f>
        <v>8752.5</v>
      </c>
      <c r="K4" s="7">
        <f>'Sales Forecast'!F33</f>
        <v>17572.5</v>
      </c>
      <c r="L4" s="7">
        <f>'Sales Forecast'!G33</f>
        <v>8752.5</v>
      </c>
      <c r="M4" s="7">
        <f>'Sales Forecast'!H33</f>
        <v>22972.5</v>
      </c>
      <c r="N4" s="7">
        <f>'Sales Forecast'!I33</f>
        <v>8752.5</v>
      </c>
      <c r="O4" s="7">
        <f>'Sales Forecast'!J33</f>
        <v>8752.5</v>
      </c>
      <c r="P4" s="7">
        <f>'Sales Forecast'!K33</f>
        <v>8752.5</v>
      </c>
      <c r="Q4" s="7">
        <f>'Sales Forecast'!L33</f>
        <v>14152.5</v>
      </c>
      <c r="R4" s="7">
        <f>'Sales Forecast'!M33</f>
        <v>17572.5</v>
      </c>
      <c r="S4" s="7">
        <f>'Sales Forecast'!N33</f>
        <v>17572.5</v>
      </c>
      <c r="T4" s="7">
        <f>'Sales Forecast'!O33</f>
        <v>17572.5</v>
      </c>
      <c r="U4" s="7">
        <f>'Sales Forecast'!P33</f>
        <v>16792.5</v>
      </c>
      <c r="V4" s="7">
        <f>'Sales Forecast'!Q33</f>
        <v>10533.75</v>
      </c>
      <c r="W4" s="7">
        <f>'Sales Forecast'!R33</f>
        <v>21558.750000000004</v>
      </c>
      <c r="X4" s="7">
        <f>'Sales Forecast'!S33</f>
        <v>21915.000000000004</v>
      </c>
      <c r="Y4" s="7">
        <f>'Sales Forecast'!T33</f>
        <v>25788.75</v>
      </c>
      <c r="Z4" s="7">
        <f>'Sales Forecast'!U33</f>
        <v>11246.25</v>
      </c>
      <c r="AA4" s="7">
        <f>'Sales Forecast'!V33</f>
        <v>20422.5</v>
      </c>
      <c r="AB4" s="7">
        <f>'Sales Forecast'!W33</f>
        <v>20422.5</v>
      </c>
      <c r="AC4" s="7">
        <f>'Sales Forecast'!X33</f>
        <v>28706.25</v>
      </c>
      <c r="AD4" s="7">
        <f>'Sales Forecast'!Y33</f>
        <v>10533.75</v>
      </c>
      <c r="AE4" s="7">
        <f>'Sales Forecast'!Z33</f>
        <v>19353.75</v>
      </c>
      <c r="AF4" s="7">
        <f>'Sales Forecast'!AA33</f>
        <v>10533.75</v>
      </c>
      <c r="AG4" s="7">
        <f>'Sales Forecast'!AB33</f>
        <v>17505</v>
      </c>
      <c r="AH4" s="7">
        <f>'Sales Forecast'!AC33</f>
        <v>51701.25</v>
      </c>
      <c r="AI4" s="7">
        <f>'Sales Forecast'!AD33</f>
        <v>31447.500000000004</v>
      </c>
      <c r="AJ4" s="7">
        <f>'Sales Forecast'!AE33</f>
        <v>31447.500000000004</v>
      </c>
      <c r="AK4" s="7">
        <f>'Sales Forecast'!AF33</f>
        <v>48003.75</v>
      </c>
      <c r="AL4" s="7">
        <f>'Sales Forecast'!AG33</f>
        <v>32516.250000000004</v>
      </c>
      <c r="AM4" s="7">
        <f>'Sales Forecast'!AH33</f>
        <v>34721.25</v>
      </c>
      <c r="AN4" s="7">
        <f>'Sales Forecast'!AI33</f>
        <v>32160.000000000004</v>
      </c>
      <c r="AO4" s="7">
        <f>'Sales Forecast'!AJ33</f>
        <v>48003.75</v>
      </c>
      <c r="AP4" s="7">
        <f>'Sales Forecast'!AK33</f>
        <v>31803.750000000004</v>
      </c>
      <c r="AQ4" s="7">
        <f>'Sales Forecast'!AL33</f>
        <v>31447.500000000004</v>
      </c>
      <c r="AR4" s="7">
        <f>'Sales Forecast'!AM33</f>
        <v>25968.750000000004</v>
      </c>
    </row>
    <row r="5" spans="1:44">
      <c r="A5" s="13" t="s">
        <v>283</v>
      </c>
      <c r="B5" s="7"/>
      <c r="C5" s="7"/>
      <c r="D5" s="7"/>
      <c r="E5" s="7"/>
      <c r="F5" s="7"/>
      <c r="G5" s="7"/>
      <c r="H5" s="7"/>
      <c r="I5" s="7">
        <f>'Sales Forecast'!D38</f>
        <v>3885</v>
      </c>
      <c r="J5" s="7">
        <f>'Sales Forecast'!E38</f>
        <v>4408.5</v>
      </c>
      <c r="K5" s="7">
        <f>'Sales Forecast'!F38</f>
        <v>4932</v>
      </c>
      <c r="L5" s="7">
        <f>'Sales Forecast'!G38</f>
        <v>6165</v>
      </c>
      <c r="M5" s="7">
        <f>'Sales Forecast'!H38</f>
        <v>4978.5</v>
      </c>
      <c r="N5" s="7">
        <f>'Sales Forecast'!I38</f>
        <v>4932</v>
      </c>
      <c r="O5" s="7">
        <f>'Sales Forecast'!J38</f>
        <v>4455</v>
      </c>
      <c r="P5" s="7">
        <f>'Sales Forecast'!K38</f>
        <v>3838.5</v>
      </c>
      <c r="Q5" s="7">
        <f>'Sales Forecast'!L38</f>
        <v>4362</v>
      </c>
      <c r="R5" s="7">
        <f>'Sales Forecast'!M38</f>
        <v>3885</v>
      </c>
      <c r="S5" s="7">
        <f>'Sales Forecast'!N38</f>
        <v>3222</v>
      </c>
      <c r="T5" s="7">
        <f>'Sales Forecast'!O38</f>
        <v>5502</v>
      </c>
      <c r="U5" s="7">
        <f>'Sales Forecast'!P38</f>
        <v>6165</v>
      </c>
      <c r="V5" s="7">
        <f>'Sales Forecast'!Q38</f>
        <v>6118.5</v>
      </c>
      <c r="W5" s="7">
        <f>'Sales Forecast'!R38</f>
        <v>7212</v>
      </c>
      <c r="X5" s="7">
        <f>'Sales Forecast'!S38</f>
        <v>7875</v>
      </c>
      <c r="Y5" s="7">
        <f>'Sales Forecast'!T38</f>
        <v>7828.5</v>
      </c>
      <c r="Z5" s="7">
        <f>'Sales Forecast'!U38</f>
        <v>8922</v>
      </c>
      <c r="AA5" s="7">
        <f>'Sales Forecast'!V38</f>
        <v>9015</v>
      </c>
      <c r="AB5" s="7">
        <f>'Sales Forecast'!W38</f>
        <v>8398.5</v>
      </c>
      <c r="AC5" s="7">
        <f>'Sales Forecast'!X38</f>
        <v>7212</v>
      </c>
      <c r="AD5" s="7">
        <f>'Sales Forecast'!Y38</f>
        <v>5595</v>
      </c>
      <c r="AE5" s="7">
        <f>'Sales Forecast'!Z38</f>
        <v>4932</v>
      </c>
      <c r="AF5" s="7">
        <f>'Sales Forecast'!AA38</f>
        <v>6072</v>
      </c>
      <c r="AG5" s="7">
        <f>'Sales Forecast'!AB38</f>
        <v>6165</v>
      </c>
      <c r="AH5" s="7">
        <f>'Sales Forecast'!AC38</f>
        <v>6118.5</v>
      </c>
      <c r="AI5" s="7">
        <f>'Sales Forecast'!AD38</f>
        <v>7212</v>
      </c>
      <c r="AJ5" s="7">
        <f>'Sales Forecast'!AE38</f>
        <v>7875</v>
      </c>
      <c r="AK5" s="7">
        <f>'Sales Forecast'!AF38</f>
        <v>7828.5</v>
      </c>
      <c r="AL5" s="7">
        <f>'Sales Forecast'!AG38</f>
        <v>8922</v>
      </c>
      <c r="AM5" s="7">
        <f>'Sales Forecast'!AH38</f>
        <v>9015</v>
      </c>
      <c r="AN5" s="7">
        <f>'Sales Forecast'!AI38</f>
        <v>8398.5</v>
      </c>
      <c r="AO5" s="7">
        <f>'Sales Forecast'!AJ38</f>
        <v>7212</v>
      </c>
      <c r="AP5" s="7">
        <f>'Sales Forecast'!AK38</f>
        <v>5595</v>
      </c>
      <c r="AQ5" s="7">
        <f>'Sales Forecast'!AL38</f>
        <v>4932</v>
      </c>
      <c r="AR5" s="7">
        <f>'Sales Forecast'!AM38</f>
        <v>6072</v>
      </c>
    </row>
    <row r="6" spans="1:44">
      <c r="A6" s="13" t="s">
        <v>24</v>
      </c>
      <c r="B6" s="7"/>
      <c r="C6" s="7"/>
      <c r="D6" s="7"/>
      <c r="E6" s="7"/>
      <c r="F6" s="7"/>
      <c r="G6" s="7"/>
      <c r="H6" s="7"/>
      <c r="I6" s="7">
        <f>'Sales Forecast'!D42</f>
        <v>250</v>
      </c>
      <c r="J6" s="7">
        <f>'Sales Forecast'!E42</f>
        <v>300</v>
      </c>
      <c r="K6" s="7">
        <f>'Sales Forecast'!F42</f>
        <v>400</v>
      </c>
      <c r="L6" s="7">
        <f>'Sales Forecast'!G42</f>
        <v>500</v>
      </c>
      <c r="M6" s="7">
        <f>'Sales Forecast'!H42</f>
        <v>500</v>
      </c>
      <c r="N6" s="7">
        <f>'Sales Forecast'!I42</f>
        <v>300</v>
      </c>
      <c r="O6" s="7">
        <f>'Sales Forecast'!J42</f>
        <v>350</v>
      </c>
      <c r="P6" s="7">
        <f>'Sales Forecast'!K42</f>
        <v>350</v>
      </c>
      <c r="Q6" s="7">
        <f>'Sales Forecast'!L42</f>
        <v>500</v>
      </c>
      <c r="R6" s="7">
        <f>'Sales Forecast'!M42</f>
        <v>300</v>
      </c>
      <c r="S6" s="7">
        <f>'Sales Forecast'!N42</f>
        <v>400</v>
      </c>
      <c r="T6" s="7">
        <f>'Sales Forecast'!O42</f>
        <v>300</v>
      </c>
      <c r="U6" s="7">
        <f>'Sales Forecast'!P42</f>
        <v>600</v>
      </c>
      <c r="V6" s="7">
        <f>'Sales Forecast'!Q42</f>
        <v>600</v>
      </c>
      <c r="W6" s="7">
        <f>'Sales Forecast'!R42</f>
        <v>700</v>
      </c>
      <c r="X6" s="7">
        <f>'Sales Forecast'!S42</f>
        <v>700</v>
      </c>
      <c r="Y6" s="7">
        <f>'Sales Forecast'!T42</f>
        <v>700</v>
      </c>
      <c r="Z6" s="7">
        <f>'Sales Forecast'!U42</f>
        <v>700</v>
      </c>
      <c r="AA6" s="7">
        <f>'Sales Forecast'!V42</f>
        <v>700</v>
      </c>
      <c r="AB6" s="7">
        <f>'Sales Forecast'!W42</f>
        <v>600</v>
      </c>
      <c r="AC6" s="7">
        <f>'Sales Forecast'!X42</f>
        <v>600</v>
      </c>
      <c r="AD6" s="7">
        <f>'Sales Forecast'!Y42</f>
        <v>600</v>
      </c>
      <c r="AE6" s="7">
        <f>'Sales Forecast'!Z42</f>
        <v>600</v>
      </c>
      <c r="AF6" s="7">
        <f>'Sales Forecast'!AA42</f>
        <v>600</v>
      </c>
      <c r="AG6" s="7">
        <f>'Sales Forecast'!AB42</f>
        <v>650</v>
      </c>
      <c r="AH6" s="7">
        <f>'Sales Forecast'!AC42</f>
        <v>700</v>
      </c>
      <c r="AI6" s="7">
        <f>'Sales Forecast'!AD42</f>
        <v>800</v>
      </c>
      <c r="AJ6" s="7">
        <f>'Sales Forecast'!AE42</f>
        <v>900</v>
      </c>
      <c r="AK6" s="7">
        <f>'Sales Forecast'!AF42</f>
        <v>900</v>
      </c>
      <c r="AL6" s="7">
        <f>'Sales Forecast'!AG42</f>
        <v>1000</v>
      </c>
      <c r="AM6" s="7">
        <f>'Sales Forecast'!AH42</f>
        <v>1000</v>
      </c>
      <c r="AN6" s="7">
        <f>'Sales Forecast'!AI42</f>
        <v>1000</v>
      </c>
      <c r="AO6" s="7">
        <f>'Sales Forecast'!AJ42</f>
        <v>800</v>
      </c>
      <c r="AP6" s="7">
        <f>'Sales Forecast'!AK42</f>
        <v>800</v>
      </c>
      <c r="AQ6" s="7">
        <f>'Sales Forecast'!AL42</f>
        <v>900</v>
      </c>
      <c r="AR6" s="7">
        <f>'Sales Forecast'!AM42</f>
        <v>800</v>
      </c>
    </row>
    <row r="7" spans="1:44">
      <c r="A7" s="14" t="s">
        <v>25</v>
      </c>
      <c r="B7" s="7"/>
      <c r="C7" s="7"/>
      <c r="D7" s="7"/>
      <c r="E7" s="7"/>
      <c r="F7" s="7"/>
      <c r="G7" s="7"/>
      <c r="H7" s="7"/>
      <c r="I7" s="8">
        <f>SUM(I3:I6)</f>
        <v>8790</v>
      </c>
      <c r="J7" s="8">
        <f t="shared" ref="J7:AR7" si="1">SUM(J3:J6)</f>
        <v>19161</v>
      </c>
      <c r="K7" s="8">
        <f t="shared" si="1"/>
        <v>35554.5</v>
      </c>
      <c r="L7" s="8">
        <f t="shared" si="1"/>
        <v>28067.5</v>
      </c>
      <c r="M7" s="8">
        <f t="shared" si="1"/>
        <v>37951</v>
      </c>
      <c r="N7" s="8">
        <f t="shared" si="1"/>
        <v>22534.5</v>
      </c>
      <c r="O7" s="8">
        <f t="shared" si="1"/>
        <v>24307.5</v>
      </c>
      <c r="P7" s="8">
        <f t="shared" si="1"/>
        <v>25691</v>
      </c>
      <c r="Q7" s="8">
        <f t="shared" si="1"/>
        <v>28514.5</v>
      </c>
      <c r="R7" s="8">
        <f t="shared" si="1"/>
        <v>31257.5</v>
      </c>
      <c r="S7" s="8">
        <f t="shared" si="1"/>
        <v>34894.5</v>
      </c>
      <c r="T7" s="8">
        <f t="shared" si="1"/>
        <v>38124.5</v>
      </c>
      <c r="U7" s="8">
        <f t="shared" si="1"/>
        <v>36857.5</v>
      </c>
      <c r="V7" s="8">
        <f t="shared" si="1"/>
        <v>31502.25</v>
      </c>
      <c r="W7" s="8">
        <f t="shared" si="1"/>
        <v>53070.75</v>
      </c>
      <c r="X7" s="8">
        <f t="shared" si="1"/>
        <v>55040</v>
      </c>
      <c r="Y7" s="8">
        <f t="shared" si="1"/>
        <v>60867.25</v>
      </c>
      <c r="Z7" s="8">
        <f t="shared" si="1"/>
        <v>37968.25</v>
      </c>
      <c r="AA7" s="8">
        <f t="shared" si="1"/>
        <v>56587.5</v>
      </c>
      <c r="AB7" s="8">
        <f t="shared" si="1"/>
        <v>54921</v>
      </c>
      <c r="AC7" s="8">
        <f t="shared" si="1"/>
        <v>60218.25</v>
      </c>
      <c r="AD7" s="8">
        <f t="shared" si="1"/>
        <v>30028.75</v>
      </c>
      <c r="AE7" s="8">
        <f t="shared" si="1"/>
        <v>49535.75</v>
      </c>
      <c r="AF7" s="8">
        <f t="shared" si="1"/>
        <v>38905.75</v>
      </c>
      <c r="AG7" s="8">
        <f t="shared" si="1"/>
        <v>52770</v>
      </c>
      <c r="AH7" s="8">
        <f t="shared" si="1"/>
        <v>87919.75</v>
      </c>
      <c r="AI7" s="8">
        <f t="shared" si="1"/>
        <v>70859.5</v>
      </c>
      <c r="AJ7" s="8">
        <f t="shared" si="1"/>
        <v>73172.5</v>
      </c>
      <c r="AK7" s="8">
        <f t="shared" si="1"/>
        <v>90032.25</v>
      </c>
      <c r="AL7" s="8">
        <f t="shared" si="1"/>
        <v>76688.25</v>
      </c>
      <c r="AM7" s="8">
        <f t="shared" si="1"/>
        <v>80986.25</v>
      </c>
      <c r="AN7" s="8">
        <f t="shared" si="1"/>
        <v>73908.5</v>
      </c>
      <c r="AO7" s="8">
        <f t="shared" si="1"/>
        <v>87415.75</v>
      </c>
      <c r="AP7" s="8">
        <f t="shared" si="1"/>
        <v>71248.75</v>
      </c>
      <c r="AQ7" s="8">
        <f t="shared" si="1"/>
        <v>66779.5</v>
      </c>
      <c r="AR7" s="8">
        <f t="shared" si="1"/>
        <v>61200.75</v>
      </c>
    </row>
    <row r="8" spans="1:44">
      <c r="A8" s="1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>
      <c r="A10" s="14" t="s">
        <v>192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>
      <c r="A11" s="103" t="s">
        <v>272</v>
      </c>
      <c r="B11" s="7"/>
      <c r="C11" s="7"/>
      <c r="D11" s="7"/>
      <c r="E11" s="7"/>
      <c r="F11" s="7"/>
      <c r="G11" s="7"/>
      <c r="H11" s="7"/>
      <c r="I11" s="7">
        <f>'Sales Forecast'!D3*'COGS and Revenue'!$C$11</f>
        <v>2829</v>
      </c>
      <c r="J11" s="7">
        <f>'Sales Forecast'!E3*'COGS and Revenue'!$C$11</f>
        <v>4715</v>
      </c>
      <c r="K11" s="7">
        <f>'Sales Forecast'!F3*'COGS and Revenue'!$C$11</f>
        <v>4950.75</v>
      </c>
      <c r="L11" s="7">
        <f>'Sales Forecast'!G3*'COGS and Revenue'!$C$11</f>
        <v>4715</v>
      </c>
      <c r="M11" s="7">
        <f>'Sales Forecast'!H3*'COGS and Revenue'!$C$11</f>
        <v>5422.25</v>
      </c>
      <c r="N11" s="7">
        <f>'Sales Forecast'!I3*'COGS and Revenue'!$C$11</f>
        <v>5422.25</v>
      </c>
      <c r="O11" s="7">
        <f>'Sales Forecast'!J3*'COGS and Revenue'!$C$11</f>
        <v>5658</v>
      </c>
      <c r="P11" s="7">
        <f>'Sales Forecast'!K3*'COGS and Revenue'!$C$11</f>
        <v>5658</v>
      </c>
      <c r="Q11" s="7">
        <f>'Sales Forecast'!L3*'COGS and Revenue'!$C$11</f>
        <v>5658</v>
      </c>
      <c r="R11" s="7">
        <f>'Sales Forecast'!M3*'COGS and Revenue'!$C$11</f>
        <v>5893.75</v>
      </c>
      <c r="S11" s="7">
        <f>'Sales Forecast'!N3*'COGS and Revenue'!$C$11</f>
        <v>6365.25</v>
      </c>
      <c r="T11" s="7">
        <f>'Sales Forecast'!O3*'COGS and Revenue'!$C$11</f>
        <v>7072.5</v>
      </c>
      <c r="U11" s="7">
        <f>'Sales Forecast'!P3*'COGS and Revenue'!$C$11</f>
        <v>7072.5</v>
      </c>
      <c r="V11" s="7">
        <f>'Sales Forecast'!Q3*'COGS and Revenue'!$C$11</f>
        <v>8487</v>
      </c>
      <c r="W11" s="7">
        <f>'Sales Forecast'!R3*'COGS and Revenue'!$C$11</f>
        <v>8487</v>
      </c>
      <c r="X11" s="7">
        <f>'Sales Forecast'!S3*'COGS and Revenue'!$C$11</f>
        <v>8722.75</v>
      </c>
      <c r="Y11" s="7">
        <f>'Sales Forecast'!T3*'COGS and Revenue'!$C$11</f>
        <v>9430</v>
      </c>
      <c r="Z11" s="7">
        <f>'Sales Forecast'!U3*'COGS and Revenue'!$C$11</f>
        <v>10608.75</v>
      </c>
      <c r="AA11" s="7">
        <f>'Sales Forecast'!V3*'COGS and Revenue'!$C$11</f>
        <v>11080.25</v>
      </c>
      <c r="AB11" s="7">
        <f>'Sales Forecast'!W3*'COGS and Revenue'!$C$11</f>
        <v>11316</v>
      </c>
      <c r="AC11" s="7">
        <f>'Sales Forecast'!X3*'COGS and Revenue'!$C$11</f>
        <v>12023.25</v>
      </c>
      <c r="AD11" s="7">
        <f>'Sales Forecast'!Y3*'COGS and Revenue'!$C$11</f>
        <v>12259</v>
      </c>
      <c r="AE11" s="7">
        <f>'Sales Forecast'!Z3*'COGS and Revenue'!$C$11</f>
        <v>12259</v>
      </c>
      <c r="AF11" s="7">
        <f>'Sales Forecast'!AA3*'COGS and Revenue'!$C$11</f>
        <v>12259</v>
      </c>
      <c r="AG11" s="7">
        <f>'Sales Forecast'!AB3*'COGS and Revenue'!$C$11</f>
        <v>11787.5</v>
      </c>
      <c r="AH11" s="7">
        <f>'Sales Forecast'!AC3*'COGS and Revenue'!$C$11</f>
        <v>11787.5</v>
      </c>
      <c r="AI11" s="7">
        <f>'Sales Forecast'!AD3*'COGS and Revenue'!$C$11</f>
        <v>12023.25</v>
      </c>
      <c r="AJ11" s="7">
        <f>'Sales Forecast'!AE3*'COGS and Revenue'!$C$11</f>
        <v>12966.25</v>
      </c>
      <c r="AK11" s="7">
        <f>'Sales Forecast'!AF3*'COGS and Revenue'!$C$11</f>
        <v>12966.25</v>
      </c>
      <c r="AL11" s="7">
        <f>'Sales Forecast'!AG3*'COGS and Revenue'!$C$11</f>
        <v>15323.75</v>
      </c>
      <c r="AM11" s="7">
        <f>'Sales Forecast'!AH3*'COGS and Revenue'!$C$11</f>
        <v>15323.75</v>
      </c>
      <c r="AN11" s="7">
        <f>'Sales Forecast'!AI3*'COGS and Revenue'!$C$11</f>
        <v>15795.25</v>
      </c>
      <c r="AO11" s="7">
        <f>'Sales Forecast'!AJ3*'COGS and Revenue'!$C$11</f>
        <v>16502.5</v>
      </c>
      <c r="AP11" s="7">
        <f>'Sales Forecast'!AK3*'COGS and Revenue'!$C$11</f>
        <v>16502.5</v>
      </c>
      <c r="AQ11" s="7">
        <f>'Sales Forecast'!AL3*'COGS and Revenue'!$C$11</f>
        <v>16502.5</v>
      </c>
      <c r="AR11" s="7">
        <f>'Sales Forecast'!AM3*'COGS and Revenue'!$C$11</f>
        <v>17209.75</v>
      </c>
    </row>
    <row r="12" spans="1:44">
      <c r="A12" s="103" t="s">
        <v>273</v>
      </c>
      <c r="B12" s="7"/>
      <c r="C12" s="7"/>
      <c r="D12" s="7"/>
      <c r="E12" s="7"/>
      <c r="F12" s="7"/>
      <c r="G12" s="7"/>
      <c r="H12" s="7"/>
      <c r="I12" s="7">
        <f>'Sales Forecast'!D9*'COGS and Revenue'!$C$16</f>
        <v>32.400000000000006</v>
      </c>
      <c r="J12" s="7">
        <f>'Sales Forecast'!E9*'COGS and Revenue'!$C$16</f>
        <v>48.6</v>
      </c>
      <c r="K12" s="7">
        <f>'Sales Forecast'!F9*'COGS and Revenue'!$C$16</f>
        <v>105.30000000000001</v>
      </c>
      <c r="L12" s="7">
        <f>'Sales Forecast'!G9*'COGS and Revenue'!$C$16</f>
        <v>105.30000000000001</v>
      </c>
      <c r="M12" s="7">
        <f>'Sales Forecast'!H9*'COGS and Revenue'!$C$16</f>
        <v>81</v>
      </c>
      <c r="N12" s="7">
        <f>'Sales Forecast'!I9*'COGS and Revenue'!$C$16</f>
        <v>72.900000000000006</v>
      </c>
      <c r="O12" s="7">
        <f>'Sales Forecast'!J9*'COGS and Revenue'!$C$16</f>
        <v>89.100000000000009</v>
      </c>
      <c r="P12" s="7">
        <f>'Sales Forecast'!K9*'COGS and Revenue'!$C$16</f>
        <v>105.30000000000001</v>
      </c>
      <c r="Q12" s="7">
        <f>'Sales Forecast'!L9*'COGS and Revenue'!$C$16</f>
        <v>81</v>
      </c>
      <c r="R12" s="7">
        <f>'Sales Forecast'!M9*'COGS and Revenue'!$C$16</f>
        <v>81</v>
      </c>
      <c r="S12" s="7">
        <f>'Sales Forecast'!N9*'COGS and Revenue'!$C$16</f>
        <v>113.4</v>
      </c>
      <c r="T12" s="7">
        <f>'Sales Forecast'!O9*'COGS and Revenue'!$C$16</f>
        <v>121.50000000000001</v>
      </c>
      <c r="U12" s="7">
        <f>'Sales Forecast'!P9*'COGS and Revenue'!$C$16</f>
        <v>113.4</v>
      </c>
      <c r="V12" s="7">
        <f>'Sales Forecast'!Q9*'COGS and Revenue'!$C$16</f>
        <v>121.50000000000001</v>
      </c>
      <c r="W12" s="7">
        <f>'Sales Forecast'!R9*'COGS and Revenue'!$C$16</f>
        <v>194.4</v>
      </c>
      <c r="X12" s="7">
        <f>'Sales Forecast'!S9*'COGS and Revenue'!$C$16</f>
        <v>202.5</v>
      </c>
      <c r="Y12" s="7">
        <f>'Sales Forecast'!T9*'COGS and Revenue'!$C$16</f>
        <v>218.70000000000002</v>
      </c>
      <c r="Z12" s="7">
        <f>'Sales Forecast'!U9*'COGS and Revenue'!$C$16</f>
        <v>145.80000000000001</v>
      </c>
      <c r="AA12" s="7">
        <f>'Sales Forecast'!V9*'COGS and Revenue'!$C$16</f>
        <v>218.70000000000002</v>
      </c>
      <c r="AB12" s="7">
        <f>'Sales Forecast'!W9*'COGS and Revenue'!$C$16</f>
        <v>210.60000000000002</v>
      </c>
      <c r="AC12" s="7">
        <f>'Sales Forecast'!X9*'COGS and Revenue'!$C$16</f>
        <v>194.4</v>
      </c>
      <c r="AD12" s="7">
        <f>'Sales Forecast'!Y9*'COGS and Revenue'!$C$16</f>
        <v>113.4</v>
      </c>
      <c r="AE12" s="7">
        <f>'Sales Forecast'!Z9*'COGS and Revenue'!$C$16</f>
        <v>202.5</v>
      </c>
      <c r="AF12" s="7">
        <f>'Sales Forecast'!AA9*'COGS and Revenue'!$C$16</f>
        <v>178.20000000000002</v>
      </c>
      <c r="AG12" s="7">
        <f>'Sales Forecast'!AB9*'COGS and Revenue'!$C$16</f>
        <v>234.9</v>
      </c>
      <c r="AH12" s="7">
        <f>'Sales Forecast'!AC9*'COGS and Revenue'!$C$16</f>
        <v>243.00000000000003</v>
      </c>
      <c r="AI12" s="7">
        <f>'Sales Forecast'!AD9*'COGS and Revenue'!$C$16</f>
        <v>259.20000000000005</v>
      </c>
      <c r="AJ12" s="7">
        <f>'Sales Forecast'!AE9*'COGS and Revenue'!$C$16</f>
        <v>267.3</v>
      </c>
      <c r="AK12" s="7">
        <f>'Sales Forecast'!AF9*'COGS and Revenue'!$C$16</f>
        <v>275.40000000000003</v>
      </c>
      <c r="AL12" s="7">
        <f>'Sales Forecast'!AG9*'COGS and Revenue'!$C$16</f>
        <v>283.5</v>
      </c>
      <c r="AM12" s="7">
        <f>'Sales Forecast'!AH9*'COGS and Revenue'!$C$16</f>
        <v>299.70000000000005</v>
      </c>
      <c r="AN12" s="7">
        <f>'Sales Forecast'!AI9*'COGS and Revenue'!$C$16</f>
        <v>267.3</v>
      </c>
      <c r="AO12" s="7">
        <f>'Sales Forecast'!AJ9*'COGS and Revenue'!$C$16</f>
        <v>259.20000000000005</v>
      </c>
      <c r="AP12" s="7">
        <f>'Sales Forecast'!AK9*'COGS and Revenue'!$C$16</f>
        <v>267.3</v>
      </c>
      <c r="AQ12" s="7">
        <f>'Sales Forecast'!AL9*'COGS and Revenue'!$C$16</f>
        <v>243.00000000000003</v>
      </c>
      <c r="AR12" s="7">
        <f>'Sales Forecast'!AM9*'COGS and Revenue'!$C$16</f>
        <v>233.28000000000003</v>
      </c>
    </row>
    <row r="13" spans="1:44">
      <c r="A13" s="103" t="s">
        <v>274</v>
      </c>
      <c r="B13" s="7"/>
      <c r="C13" s="7"/>
      <c r="D13" s="7"/>
      <c r="E13" s="7"/>
      <c r="F13" s="7"/>
      <c r="G13" s="7"/>
      <c r="H13" s="7"/>
      <c r="I13" s="7">
        <f>'Sales Forecast'!D11*'COGS and Revenue'!$C$23</f>
        <v>259.0199957333333</v>
      </c>
      <c r="J13" s="7">
        <f>'Sales Forecast'!E11*'COGS and Revenue'!$C$23</f>
        <v>647.54998933333331</v>
      </c>
      <c r="K13" s="7">
        <f>'Sales Forecast'!F11*'COGS and Revenue'!$C$23</f>
        <v>647.54998933333331</v>
      </c>
      <c r="L13" s="7">
        <f>'Sales Forecast'!G11*'COGS and Revenue'!$C$23</f>
        <v>647.54998933333331</v>
      </c>
      <c r="M13" s="7">
        <f>'Sales Forecast'!H11*'COGS and Revenue'!$C$23</f>
        <v>647.54998933333331</v>
      </c>
      <c r="N13" s="7">
        <f>'Sales Forecast'!I11*'COGS and Revenue'!$C$23</f>
        <v>647.54998933333331</v>
      </c>
      <c r="O13" s="7">
        <f>'Sales Forecast'!J11*'COGS and Revenue'!$C$23</f>
        <v>647.54998933333331</v>
      </c>
      <c r="P13" s="7">
        <f>'Sales Forecast'!K11*'COGS and Revenue'!$C$23</f>
        <v>647.54998933333331</v>
      </c>
      <c r="Q13" s="7">
        <f>'Sales Forecast'!L11*'COGS and Revenue'!$C$23</f>
        <v>647.54998933333331</v>
      </c>
      <c r="R13" s="7">
        <f>'Sales Forecast'!M11*'COGS and Revenue'!$C$23</f>
        <v>647.54998933333331</v>
      </c>
      <c r="S13" s="7">
        <f>'Sales Forecast'!N11*'COGS and Revenue'!$C$23</f>
        <v>647.54998933333331</v>
      </c>
      <c r="T13" s="7">
        <f>'Sales Forecast'!O11*'COGS and Revenue'!$C$23</f>
        <v>647.54998933333331</v>
      </c>
      <c r="U13" s="7">
        <f>'Sales Forecast'!P11*'COGS and Revenue'!$C$23</f>
        <v>1079.2499822222221</v>
      </c>
      <c r="V13" s="7">
        <f>'Sales Forecast'!Q11*'COGS and Revenue'!$C$23</f>
        <v>1187.1749804444444</v>
      </c>
      <c r="W13" s="7">
        <f>'Sales Forecast'!R11*'COGS and Revenue'!$C$23</f>
        <v>1187.1749804444444</v>
      </c>
      <c r="X13" s="7">
        <f>'Sales Forecast'!S11*'COGS and Revenue'!$C$23</f>
        <v>1295.0999786666666</v>
      </c>
      <c r="Y13" s="7">
        <f>'Sales Forecast'!T11*'COGS and Revenue'!$C$23</f>
        <v>1187.1749804444444</v>
      </c>
      <c r="Z13" s="7">
        <f>'Sales Forecast'!U11*'COGS and Revenue'!$C$23</f>
        <v>1403.0249768888889</v>
      </c>
      <c r="AA13" s="7">
        <f>'Sales Forecast'!V11*'COGS and Revenue'!$C$23</f>
        <v>1510.9499751111111</v>
      </c>
      <c r="AB13" s="7">
        <f>'Sales Forecast'!W11*'COGS and Revenue'!$C$23</f>
        <v>1510.9499751111111</v>
      </c>
      <c r="AC13" s="7">
        <f>'Sales Forecast'!X11*'COGS and Revenue'!$C$23</f>
        <v>1403.0249768888889</v>
      </c>
      <c r="AD13" s="7">
        <f>'Sales Forecast'!Y11*'COGS and Revenue'!$C$23</f>
        <v>1187.1749804444444</v>
      </c>
      <c r="AE13" s="7">
        <f>'Sales Forecast'!Z11*'COGS and Revenue'!$C$23</f>
        <v>1187.1749804444444</v>
      </c>
      <c r="AF13" s="7">
        <f>'Sales Forecast'!AA11*'COGS and Revenue'!$C$23</f>
        <v>1187.1749804444444</v>
      </c>
      <c r="AG13" s="7">
        <f>'Sales Forecast'!AB11*'COGS and Revenue'!$C$23</f>
        <v>1295.0999786666666</v>
      </c>
      <c r="AH13" s="7">
        <f>'Sales Forecast'!AC11*'COGS and Revenue'!$C$23</f>
        <v>1403.0249768888889</v>
      </c>
      <c r="AI13" s="7">
        <f>'Sales Forecast'!AD11*'COGS and Revenue'!$C$23</f>
        <v>1510.9499751111111</v>
      </c>
      <c r="AJ13" s="7">
        <f>'Sales Forecast'!AE11*'COGS and Revenue'!$C$23</f>
        <v>1510.9499751111111</v>
      </c>
      <c r="AK13" s="7">
        <f>'Sales Forecast'!AF11*'COGS and Revenue'!$C$23</f>
        <v>1618.8749733333334</v>
      </c>
      <c r="AL13" s="7">
        <f>'Sales Forecast'!AG11*'COGS and Revenue'!$C$23</f>
        <v>1834.7249697777777</v>
      </c>
      <c r="AM13" s="7">
        <f>'Sales Forecast'!AH11*'COGS and Revenue'!$C$23</f>
        <v>1834.7249697777777</v>
      </c>
      <c r="AN13" s="7">
        <f>'Sales Forecast'!AI11*'COGS and Revenue'!$C$23</f>
        <v>1726.7999715555557</v>
      </c>
      <c r="AO13" s="7">
        <f>'Sales Forecast'!AJ11*'COGS and Revenue'!$C$23</f>
        <v>1618.8749733333334</v>
      </c>
      <c r="AP13" s="7">
        <f>'Sales Forecast'!AK11*'COGS and Revenue'!$C$23</f>
        <v>1618.8749733333334</v>
      </c>
      <c r="AQ13" s="7">
        <f>'Sales Forecast'!AL11*'COGS and Revenue'!$C$23</f>
        <v>1510.9499751111111</v>
      </c>
      <c r="AR13" s="7">
        <f>'Sales Forecast'!AM11*'COGS and Revenue'!$C$23</f>
        <v>1187.1749804444444</v>
      </c>
    </row>
    <row r="14" spans="1:44">
      <c r="A14" s="103" t="s">
        <v>275</v>
      </c>
      <c r="B14" s="7"/>
      <c r="C14" s="7"/>
      <c r="D14" s="7"/>
      <c r="E14" s="7"/>
      <c r="F14" s="7"/>
      <c r="G14" s="7"/>
      <c r="H14" s="7"/>
      <c r="I14" s="7">
        <f>'Sales Forecast'!D12*'COGS and Revenue'!$C$30</f>
        <v>0</v>
      </c>
      <c r="J14" s="7">
        <f>'Sales Forecast'!E12*'COGS and Revenue'!$C$30</f>
        <v>1975.5000000000002</v>
      </c>
      <c r="K14" s="7">
        <f>'Sales Forecast'!F12*'COGS and Revenue'!$C$30</f>
        <v>4609.5000000000009</v>
      </c>
      <c r="L14" s="7">
        <f>'Sales Forecast'!G12*'COGS and Revenue'!$C$30</f>
        <v>1975.5000000000002</v>
      </c>
      <c r="M14" s="7">
        <f>'Sales Forecast'!H12*'COGS and Revenue'!$C$30</f>
        <v>4609.5000000000009</v>
      </c>
      <c r="N14" s="7">
        <f>'Sales Forecast'!I12*'COGS and Revenue'!$C$30</f>
        <v>1975.5000000000002</v>
      </c>
      <c r="O14" s="7">
        <f>'Sales Forecast'!J12*'COGS and Revenue'!$C$30</f>
        <v>1975.5000000000002</v>
      </c>
      <c r="P14" s="7">
        <f>'Sales Forecast'!K12*'COGS and Revenue'!$C$30</f>
        <v>1975.5000000000002</v>
      </c>
      <c r="Q14" s="7">
        <f>'Sales Forecast'!L12*'COGS and Revenue'!$C$30</f>
        <v>1975.5000000000002</v>
      </c>
      <c r="R14" s="7">
        <f>'Sales Forecast'!M12*'COGS and Revenue'!$C$30</f>
        <v>4609.5000000000009</v>
      </c>
      <c r="S14" s="7">
        <f>'Sales Forecast'!N12*'COGS and Revenue'!$C$30</f>
        <v>4609.5000000000009</v>
      </c>
      <c r="T14" s="7">
        <f>'Sales Forecast'!O12*'COGS and Revenue'!$C$30</f>
        <v>4609.5000000000009</v>
      </c>
      <c r="U14" s="7">
        <f>'Sales Forecast'!P12*'COGS and Revenue'!$C$30</f>
        <v>3951.0000000000005</v>
      </c>
      <c r="V14" s="7">
        <f>'Sales Forecast'!Q12*'COGS and Revenue'!$C$30</f>
        <v>1975.5000000000002</v>
      </c>
      <c r="W14" s="7">
        <f>'Sales Forecast'!R12*'COGS and Revenue'!$C$30</f>
        <v>5268.0000000000009</v>
      </c>
      <c r="X14" s="7">
        <f>'Sales Forecast'!S12*'COGS and Revenue'!$C$30</f>
        <v>5268.0000000000009</v>
      </c>
      <c r="Y14" s="7">
        <f>'Sales Forecast'!T12*'COGS and Revenue'!$C$30</f>
        <v>3951.0000000000005</v>
      </c>
      <c r="Z14" s="7">
        <f>'Sales Forecast'!U12*'COGS and Revenue'!$C$30</f>
        <v>1975.5000000000002</v>
      </c>
      <c r="AA14" s="7">
        <f>'Sales Forecast'!V12*'COGS and Revenue'!$C$30</f>
        <v>4609.5000000000009</v>
      </c>
      <c r="AB14" s="7">
        <f>'Sales Forecast'!W12*'COGS and Revenue'!$C$30</f>
        <v>4609.5000000000009</v>
      </c>
      <c r="AC14" s="7">
        <f>'Sales Forecast'!X12*'COGS and Revenue'!$C$30</f>
        <v>4609.5000000000009</v>
      </c>
      <c r="AD14" s="7">
        <f>'Sales Forecast'!Y12*'COGS and Revenue'!$C$30</f>
        <v>1975.5000000000002</v>
      </c>
      <c r="AE14" s="7">
        <f>'Sales Forecast'!Z12*'COGS and Revenue'!$C$30</f>
        <v>4609.5000000000009</v>
      </c>
      <c r="AF14" s="7">
        <f>'Sales Forecast'!AA12*'COGS and Revenue'!$C$30</f>
        <v>1975.5000000000002</v>
      </c>
      <c r="AG14" s="7">
        <f>'Sales Forecast'!AB12*'COGS and Revenue'!$C$30</f>
        <v>3951.0000000000005</v>
      </c>
      <c r="AH14" s="7">
        <f>'Sales Forecast'!AC12*'COGS and Revenue'!$C$30</f>
        <v>9219.0000000000018</v>
      </c>
      <c r="AI14" s="7">
        <f>'Sales Forecast'!AD12*'COGS and Revenue'!$C$30</f>
        <v>7902.0000000000009</v>
      </c>
      <c r="AJ14" s="7">
        <f>'Sales Forecast'!AE12*'COGS and Revenue'!$C$30</f>
        <v>7902.0000000000009</v>
      </c>
      <c r="AK14" s="7">
        <f>'Sales Forecast'!AF12*'COGS and Revenue'!$C$30</f>
        <v>7902.0000000000009</v>
      </c>
      <c r="AL14" s="7">
        <f>'Sales Forecast'!AG12*'COGS and Revenue'!$C$30</f>
        <v>7902.0000000000009</v>
      </c>
      <c r="AM14" s="7">
        <f>'Sales Forecast'!AH12*'COGS and Revenue'!$C$30</f>
        <v>8560.5000000000018</v>
      </c>
      <c r="AN14" s="7">
        <f>'Sales Forecast'!AI12*'COGS and Revenue'!$C$30</f>
        <v>7902.0000000000009</v>
      </c>
      <c r="AO14" s="7">
        <f>'Sales Forecast'!AJ12*'COGS and Revenue'!$C$30</f>
        <v>7902.0000000000009</v>
      </c>
      <c r="AP14" s="7">
        <f>'Sales Forecast'!AK12*'COGS and Revenue'!$C$30</f>
        <v>7902.0000000000009</v>
      </c>
      <c r="AQ14" s="7">
        <f>'Sales Forecast'!AL12*'COGS and Revenue'!$C$30</f>
        <v>7902.0000000000009</v>
      </c>
      <c r="AR14" s="7">
        <f>'Sales Forecast'!AM12*'COGS and Revenue'!$C$30</f>
        <v>6585.0000000000009</v>
      </c>
    </row>
    <row r="15" spans="1:44">
      <c r="A15" s="103" t="s">
        <v>276</v>
      </c>
      <c r="B15" s="7"/>
      <c r="C15" s="7"/>
      <c r="D15" s="7"/>
      <c r="E15" s="7"/>
      <c r="F15" s="7"/>
      <c r="G15" s="7"/>
      <c r="H15" s="7"/>
      <c r="I15" s="7">
        <f>'Sales Forecast'!D16*'COGS and Revenue'!$C$34</f>
        <v>99.2</v>
      </c>
      <c r="J15" s="7">
        <f>'Sales Forecast'!E16*'COGS and Revenue'!$C$34</f>
        <v>49.6</v>
      </c>
      <c r="K15" s="7">
        <f>'Sales Forecast'!F16*'COGS and Revenue'!$C$34</f>
        <v>0</v>
      </c>
      <c r="L15" s="7">
        <f>'Sales Forecast'!G16*'COGS and Revenue'!$C$34</f>
        <v>99.2</v>
      </c>
      <c r="M15" s="7">
        <f>'Sales Forecast'!H16*'COGS and Revenue'!$C$34</f>
        <v>49.6</v>
      </c>
      <c r="N15" s="7">
        <f>'Sales Forecast'!I16*'COGS and Revenue'!$C$34</f>
        <v>0</v>
      </c>
      <c r="O15" s="7">
        <f>'Sales Forecast'!J16*'COGS and Revenue'!$C$34</f>
        <v>99.2</v>
      </c>
      <c r="P15" s="7">
        <f>'Sales Forecast'!K16*'COGS and Revenue'!$C$34</f>
        <v>49.6</v>
      </c>
      <c r="Q15" s="7">
        <f>'Sales Forecast'!L16*'COGS and Revenue'!$C$34</f>
        <v>0</v>
      </c>
      <c r="R15" s="7">
        <f>'Sales Forecast'!M16*'COGS and Revenue'!$C$34</f>
        <v>99.2</v>
      </c>
      <c r="S15" s="7">
        <f>'Sales Forecast'!N16*'COGS and Revenue'!$C$34</f>
        <v>0</v>
      </c>
      <c r="T15" s="7">
        <f>'Sales Forecast'!O16*'COGS and Revenue'!$C$34</f>
        <v>0</v>
      </c>
      <c r="U15" s="7">
        <f>'Sales Forecast'!P16*'COGS and Revenue'!$C$34</f>
        <v>99.2</v>
      </c>
      <c r="V15" s="7">
        <f>'Sales Forecast'!Q16*'COGS and Revenue'!$C$34</f>
        <v>49.6</v>
      </c>
      <c r="W15" s="7">
        <f>'Sales Forecast'!R16*'COGS and Revenue'!$C$34</f>
        <v>0</v>
      </c>
      <c r="X15" s="7">
        <f>'Sales Forecast'!S16*'COGS and Revenue'!$C$34</f>
        <v>99.2</v>
      </c>
      <c r="Y15" s="7">
        <f>'Sales Forecast'!T16*'COGS and Revenue'!$C$34</f>
        <v>49.6</v>
      </c>
      <c r="Z15" s="7">
        <f>'Sales Forecast'!U16*'COGS and Revenue'!$C$34</f>
        <v>0</v>
      </c>
      <c r="AA15" s="7">
        <f>'Sales Forecast'!V16*'COGS and Revenue'!$C$34</f>
        <v>99.2</v>
      </c>
      <c r="AB15" s="7">
        <f>'Sales Forecast'!W16*'COGS and Revenue'!$C$34</f>
        <v>49.6</v>
      </c>
      <c r="AC15" s="7">
        <f>'Sales Forecast'!X16*'COGS and Revenue'!$C$34</f>
        <v>0</v>
      </c>
      <c r="AD15" s="7">
        <f>'Sales Forecast'!Y16*'COGS and Revenue'!$C$34</f>
        <v>99.2</v>
      </c>
      <c r="AE15" s="7">
        <f>'Sales Forecast'!Z16*'COGS and Revenue'!$C$34</f>
        <v>0</v>
      </c>
      <c r="AF15" s="7">
        <f>'Sales Forecast'!AA16*'COGS and Revenue'!$C$34</f>
        <v>0</v>
      </c>
      <c r="AG15" s="7">
        <f>'Sales Forecast'!AB16*'COGS and Revenue'!$C$34</f>
        <v>99.2</v>
      </c>
      <c r="AH15" s="7">
        <f>'Sales Forecast'!AC16*'COGS and Revenue'!$C$34</f>
        <v>49.6</v>
      </c>
      <c r="AI15" s="7">
        <f>'Sales Forecast'!AD16*'COGS and Revenue'!$C$34</f>
        <v>0</v>
      </c>
      <c r="AJ15" s="7">
        <f>'Sales Forecast'!AE16*'COGS and Revenue'!$C$34</f>
        <v>99.2</v>
      </c>
      <c r="AK15" s="7">
        <f>'Sales Forecast'!AF16*'COGS and Revenue'!$C$34</f>
        <v>49.6</v>
      </c>
      <c r="AL15" s="7">
        <f>'Sales Forecast'!AG16*'COGS and Revenue'!$C$34</f>
        <v>0</v>
      </c>
      <c r="AM15" s="7">
        <f>'Sales Forecast'!AH16*'COGS and Revenue'!$C$34</f>
        <v>99.2</v>
      </c>
      <c r="AN15" s="7">
        <f>'Sales Forecast'!AI16*'COGS and Revenue'!$C$34</f>
        <v>49.6</v>
      </c>
      <c r="AO15" s="7">
        <f>'Sales Forecast'!AJ16*'COGS and Revenue'!$C$34</f>
        <v>0</v>
      </c>
      <c r="AP15" s="7">
        <f>'Sales Forecast'!AK16*'COGS and Revenue'!$C$34</f>
        <v>99.2</v>
      </c>
      <c r="AQ15" s="7">
        <f>'Sales Forecast'!AL16*'COGS and Revenue'!$C$34</f>
        <v>0</v>
      </c>
      <c r="AR15" s="7">
        <f>'Sales Forecast'!AM16*'COGS and Revenue'!$C$34</f>
        <v>0</v>
      </c>
    </row>
    <row r="16" spans="1:44">
      <c r="A16" s="13" t="s">
        <v>27</v>
      </c>
      <c r="B16" s="7"/>
      <c r="C16" s="7"/>
      <c r="D16" s="7"/>
      <c r="E16" s="7"/>
      <c r="F16" s="7"/>
      <c r="G16" s="7"/>
      <c r="H16" s="7"/>
      <c r="I16" s="7">
        <f>'Sales Forecast'!D42/2</f>
        <v>125</v>
      </c>
      <c r="J16" s="7">
        <f>'Sales Forecast'!E42/2</f>
        <v>150</v>
      </c>
      <c r="K16" s="7">
        <f>'Sales Forecast'!F42/2</f>
        <v>200</v>
      </c>
      <c r="L16" s="7">
        <f>'Sales Forecast'!G42/2</f>
        <v>250</v>
      </c>
      <c r="M16" s="7">
        <f>'Sales Forecast'!H42/2</f>
        <v>250</v>
      </c>
      <c r="N16" s="7">
        <f>'Sales Forecast'!I42/2</f>
        <v>150</v>
      </c>
      <c r="O16" s="7">
        <f>'Sales Forecast'!J42/2</f>
        <v>175</v>
      </c>
      <c r="P16" s="7">
        <f>'Sales Forecast'!K42/2</f>
        <v>175</v>
      </c>
      <c r="Q16" s="7">
        <f>'Sales Forecast'!L42/2</f>
        <v>250</v>
      </c>
      <c r="R16" s="7">
        <f>'Sales Forecast'!M42/2</f>
        <v>150</v>
      </c>
      <c r="S16" s="7">
        <f>'Sales Forecast'!N42/2</f>
        <v>200</v>
      </c>
      <c r="T16" s="7">
        <f>'Sales Forecast'!O42/2</f>
        <v>150</v>
      </c>
      <c r="U16" s="7">
        <f>'Sales Forecast'!P42/2</f>
        <v>300</v>
      </c>
      <c r="V16" s="7">
        <f>'Sales Forecast'!Q42/2</f>
        <v>300</v>
      </c>
      <c r="W16" s="7">
        <f>'Sales Forecast'!R42/2</f>
        <v>350</v>
      </c>
      <c r="X16" s="7">
        <f>'Sales Forecast'!S42/2</f>
        <v>350</v>
      </c>
      <c r="Y16" s="7">
        <f>'Sales Forecast'!T42/2</f>
        <v>350</v>
      </c>
      <c r="Z16" s="7">
        <f>'Sales Forecast'!U42/2</f>
        <v>350</v>
      </c>
      <c r="AA16" s="7">
        <f>'Sales Forecast'!V42/2</f>
        <v>350</v>
      </c>
      <c r="AB16" s="7">
        <f>'Sales Forecast'!W42/2</f>
        <v>300</v>
      </c>
      <c r="AC16" s="7">
        <f>'Sales Forecast'!X42/2</f>
        <v>300</v>
      </c>
      <c r="AD16" s="7">
        <f>'Sales Forecast'!Y42/2</f>
        <v>300</v>
      </c>
      <c r="AE16" s="7">
        <f>'Sales Forecast'!Z42/2</f>
        <v>300</v>
      </c>
      <c r="AF16" s="7">
        <f>'Sales Forecast'!AA42/2</f>
        <v>300</v>
      </c>
      <c r="AG16" s="7">
        <f>'Sales Forecast'!AB42/2</f>
        <v>325</v>
      </c>
      <c r="AH16" s="7">
        <f>'Sales Forecast'!AC42/2</f>
        <v>350</v>
      </c>
      <c r="AI16" s="7">
        <f>'Sales Forecast'!AD42/2</f>
        <v>400</v>
      </c>
      <c r="AJ16" s="7">
        <f>'Sales Forecast'!AE42/2</f>
        <v>450</v>
      </c>
      <c r="AK16" s="7">
        <f>'Sales Forecast'!AF42/2</f>
        <v>450</v>
      </c>
      <c r="AL16" s="7">
        <f>'Sales Forecast'!AG42/2</f>
        <v>500</v>
      </c>
      <c r="AM16" s="7">
        <f>'Sales Forecast'!AH42/2</f>
        <v>500</v>
      </c>
      <c r="AN16" s="7">
        <f>'Sales Forecast'!AI42/2</f>
        <v>500</v>
      </c>
      <c r="AO16" s="7">
        <f>'Sales Forecast'!AJ42/2</f>
        <v>400</v>
      </c>
      <c r="AP16" s="7">
        <f>'Sales Forecast'!AK42/2</f>
        <v>400</v>
      </c>
      <c r="AQ16" s="7">
        <f>'Sales Forecast'!AL42/2</f>
        <v>450</v>
      </c>
      <c r="AR16" s="7">
        <f>'Sales Forecast'!AM42/2</f>
        <v>400</v>
      </c>
    </row>
    <row r="17" spans="1:44">
      <c r="A17" s="15" t="s">
        <v>288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>
      <c r="A18" s="13" t="s">
        <v>37</v>
      </c>
      <c r="B18" s="7"/>
      <c r="C18" s="7"/>
      <c r="D18" s="7"/>
      <c r="E18" s="7"/>
      <c r="F18" s="7"/>
      <c r="G18" s="7"/>
      <c r="H18" s="7"/>
      <c r="I18" s="7">
        <v>3500</v>
      </c>
      <c r="J18" s="7">
        <v>3500</v>
      </c>
      <c r="K18" s="7">
        <v>3500</v>
      </c>
      <c r="L18" s="7">
        <v>3500</v>
      </c>
      <c r="M18" s="7">
        <v>3500</v>
      </c>
      <c r="N18" s="7">
        <v>3500</v>
      </c>
      <c r="O18" s="7">
        <v>3500</v>
      </c>
      <c r="P18" s="7">
        <v>3500</v>
      </c>
      <c r="Q18" s="7">
        <v>3500</v>
      </c>
      <c r="R18" s="7">
        <v>3500</v>
      </c>
      <c r="S18" s="7">
        <v>3500</v>
      </c>
      <c r="T18" s="7">
        <v>3500</v>
      </c>
      <c r="U18" s="7">
        <f>T18*1.1</f>
        <v>3850.0000000000005</v>
      </c>
      <c r="V18" s="7">
        <f>U18</f>
        <v>3850.0000000000005</v>
      </c>
      <c r="W18" s="7">
        <f t="shared" ref="W18:AF18" si="2">V18</f>
        <v>3850.0000000000005</v>
      </c>
      <c r="X18" s="7">
        <f t="shared" si="2"/>
        <v>3850.0000000000005</v>
      </c>
      <c r="Y18" s="7">
        <f t="shared" si="2"/>
        <v>3850.0000000000005</v>
      </c>
      <c r="Z18" s="7">
        <f t="shared" si="2"/>
        <v>3850.0000000000005</v>
      </c>
      <c r="AA18" s="7">
        <f t="shared" si="2"/>
        <v>3850.0000000000005</v>
      </c>
      <c r="AB18" s="7">
        <f t="shared" si="2"/>
        <v>3850.0000000000005</v>
      </c>
      <c r="AC18" s="7">
        <f t="shared" si="2"/>
        <v>3850.0000000000005</v>
      </c>
      <c r="AD18" s="7">
        <f t="shared" si="2"/>
        <v>3850.0000000000005</v>
      </c>
      <c r="AE18" s="7">
        <f t="shared" si="2"/>
        <v>3850.0000000000005</v>
      </c>
      <c r="AF18" s="7">
        <f t="shared" si="2"/>
        <v>3850.0000000000005</v>
      </c>
      <c r="AG18" s="7">
        <f>AF18</f>
        <v>3850.0000000000005</v>
      </c>
      <c r="AH18" s="7">
        <f>AG18+2500</f>
        <v>6350</v>
      </c>
      <c r="AI18" s="7">
        <f>AH18</f>
        <v>6350</v>
      </c>
      <c r="AJ18" s="7">
        <f t="shared" ref="AJ18:AR18" si="3">AI18</f>
        <v>6350</v>
      </c>
      <c r="AK18" s="7">
        <f t="shared" si="3"/>
        <v>6350</v>
      </c>
      <c r="AL18" s="7">
        <f t="shared" si="3"/>
        <v>6350</v>
      </c>
      <c r="AM18" s="7">
        <f t="shared" si="3"/>
        <v>6350</v>
      </c>
      <c r="AN18" s="7">
        <f t="shared" si="3"/>
        <v>6350</v>
      </c>
      <c r="AO18" s="7">
        <f t="shared" si="3"/>
        <v>6350</v>
      </c>
      <c r="AP18" s="7">
        <f t="shared" si="3"/>
        <v>6350</v>
      </c>
      <c r="AQ18" s="7">
        <f t="shared" si="3"/>
        <v>6350</v>
      </c>
      <c r="AR18" s="7">
        <f t="shared" si="3"/>
        <v>6350</v>
      </c>
    </row>
    <row r="19" spans="1:44">
      <c r="A19" s="13" t="s">
        <v>289</v>
      </c>
      <c r="B19" s="7"/>
      <c r="C19" s="7"/>
      <c r="D19" s="7"/>
      <c r="E19" s="7"/>
      <c r="F19" s="7"/>
      <c r="G19" s="7"/>
      <c r="H19" s="7"/>
      <c r="I19" s="7">
        <v>540.4</v>
      </c>
      <c r="J19" s="7">
        <v>540.4</v>
      </c>
      <c r="K19" s="7">
        <v>540.4</v>
      </c>
      <c r="L19" s="7">
        <v>540.4</v>
      </c>
      <c r="M19" s="7">
        <v>540.4</v>
      </c>
      <c r="N19" s="7">
        <v>540.4</v>
      </c>
      <c r="O19" s="7">
        <v>540.4</v>
      </c>
      <c r="P19" s="7">
        <v>540.4</v>
      </c>
      <c r="Q19" s="7">
        <v>540.4</v>
      </c>
      <c r="R19" s="7">
        <v>540.4</v>
      </c>
      <c r="S19" s="7">
        <v>540.4</v>
      </c>
      <c r="T19" s="7">
        <v>540.4</v>
      </c>
      <c r="U19" s="7">
        <f>T19*1.1</f>
        <v>594.44000000000005</v>
      </c>
      <c r="V19" s="7">
        <f>U19</f>
        <v>594.44000000000005</v>
      </c>
      <c r="W19" s="7">
        <f t="shared" ref="W19:AF19" si="4">V19</f>
        <v>594.44000000000005</v>
      </c>
      <c r="X19" s="7">
        <f t="shared" si="4"/>
        <v>594.44000000000005</v>
      </c>
      <c r="Y19" s="7">
        <f t="shared" si="4"/>
        <v>594.44000000000005</v>
      </c>
      <c r="Z19" s="7">
        <f t="shared" si="4"/>
        <v>594.44000000000005</v>
      </c>
      <c r="AA19" s="7">
        <f t="shared" si="4"/>
        <v>594.44000000000005</v>
      </c>
      <c r="AB19" s="7">
        <f t="shared" si="4"/>
        <v>594.44000000000005</v>
      </c>
      <c r="AC19" s="7">
        <f t="shared" si="4"/>
        <v>594.44000000000005</v>
      </c>
      <c r="AD19" s="7">
        <f t="shared" si="4"/>
        <v>594.44000000000005</v>
      </c>
      <c r="AE19" s="7">
        <f t="shared" si="4"/>
        <v>594.44000000000005</v>
      </c>
      <c r="AF19" s="7">
        <f t="shared" si="4"/>
        <v>594.44000000000005</v>
      </c>
      <c r="AG19" s="7">
        <f>AF19</f>
        <v>594.44000000000005</v>
      </c>
      <c r="AH19" s="7">
        <f>(1747.62/13510)*AH18</f>
        <v>821.42020725388591</v>
      </c>
      <c r="AI19" s="7">
        <f t="shared" ref="AI19:AR19" si="5">(1747.62/13510)*AI18</f>
        <v>821.42020725388591</v>
      </c>
      <c r="AJ19" s="7">
        <f t="shared" si="5"/>
        <v>821.42020725388591</v>
      </c>
      <c r="AK19" s="7">
        <f t="shared" si="5"/>
        <v>821.42020725388591</v>
      </c>
      <c r="AL19" s="7">
        <f t="shared" si="5"/>
        <v>821.42020725388591</v>
      </c>
      <c r="AM19" s="7">
        <f t="shared" si="5"/>
        <v>821.42020725388591</v>
      </c>
      <c r="AN19" s="7">
        <f t="shared" si="5"/>
        <v>821.42020725388591</v>
      </c>
      <c r="AO19" s="7">
        <f t="shared" si="5"/>
        <v>821.42020725388591</v>
      </c>
      <c r="AP19" s="7">
        <f t="shared" si="5"/>
        <v>821.42020725388591</v>
      </c>
      <c r="AQ19" s="7">
        <f t="shared" si="5"/>
        <v>821.42020725388591</v>
      </c>
      <c r="AR19" s="7">
        <f t="shared" si="5"/>
        <v>821.42020725388591</v>
      </c>
    </row>
    <row r="20" spans="1:44">
      <c r="A20" s="13" t="s">
        <v>291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395</v>
      </c>
      <c r="P20" s="7">
        <v>395</v>
      </c>
      <c r="Q20" s="7">
        <v>395</v>
      </c>
      <c r="R20" s="7">
        <v>395</v>
      </c>
      <c r="S20" s="7">
        <v>395</v>
      </c>
      <c r="T20" s="7">
        <v>395</v>
      </c>
      <c r="U20" s="7">
        <v>395</v>
      </c>
      <c r="V20" s="7">
        <v>395</v>
      </c>
      <c r="W20" s="7">
        <v>395</v>
      </c>
      <c r="X20" s="7">
        <v>395</v>
      </c>
      <c r="Y20" s="7">
        <v>395</v>
      </c>
      <c r="Z20" s="7">
        <v>395</v>
      </c>
      <c r="AA20" s="7">
        <v>435</v>
      </c>
      <c r="AB20" s="7">
        <v>435</v>
      </c>
      <c r="AC20" s="7">
        <v>435</v>
      </c>
      <c r="AD20" s="7">
        <v>435</v>
      </c>
      <c r="AE20" s="7">
        <v>435</v>
      </c>
      <c r="AF20" s="7">
        <v>435</v>
      </c>
      <c r="AG20" s="7">
        <v>435</v>
      </c>
      <c r="AH20" s="7">
        <v>860</v>
      </c>
      <c r="AI20" s="7">
        <v>860</v>
      </c>
      <c r="AJ20" s="7">
        <v>860</v>
      </c>
      <c r="AK20" s="7">
        <v>860</v>
      </c>
      <c r="AL20" s="7">
        <v>860</v>
      </c>
      <c r="AM20" s="7">
        <v>950</v>
      </c>
      <c r="AN20" s="7">
        <v>950</v>
      </c>
      <c r="AO20" s="7">
        <v>950</v>
      </c>
      <c r="AP20" s="7">
        <v>950</v>
      </c>
      <c r="AQ20" s="7">
        <v>950</v>
      </c>
      <c r="AR20" s="7">
        <v>950</v>
      </c>
    </row>
    <row r="21" spans="1:44">
      <c r="A21" s="13" t="s">
        <v>290</v>
      </c>
      <c r="B21" s="7"/>
      <c r="C21" s="7"/>
      <c r="D21" s="7"/>
      <c r="E21" s="7"/>
      <c r="F21" s="7"/>
      <c r="G21" s="7"/>
      <c r="H21" s="7"/>
      <c r="I21" s="7">
        <f>I18*0.02</f>
        <v>70</v>
      </c>
      <c r="J21" s="7">
        <f t="shared" ref="J21:AR21" si="6">J18*0.02</f>
        <v>70</v>
      </c>
      <c r="K21" s="7">
        <f t="shared" si="6"/>
        <v>70</v>
      </c>
      <c r="L21" s="7">
        <f t="shared" si="6"/>
        <v>70</v>
      </c>
      <c r="M21" s="7">
        <f t="shared" si="6"/>
        <v>70</v>
      </c>
      <c r="N21" s="7">
        <f t="shared" si="6"/>
        <v>70</v>
      </c>
      <c r="O21" s="7">
        <f t="shared" si="6"/>
        <v>70</v>
      </c>
      <c r="P21" s="7">
        <f t="shared" si="6"/>
        <v>70</v>
      </c>
      <c r="Q21" s="7">
        <f t="shared" si="6"/>
        <v>70</v>
      </c>
      <c r="R21" s="7">
        <f t="shared" si="6"/>
        <v>70</v>
      </c>
      <c r="S21" s="7">
        <f t="shared" si="6"/>
        <v>70</v>
      </c>
      <c r="T21" s="7">
        <f t="shared" si="6"/>
        <v>70</v>
      </c>
      <c r="U21" s="7">
        <f t="shared" si="6"/>
        <v>77.000000000000014</v>
      </c>
      <c r="V21" s="7">
        <f t="shared" si="6"/>
        <v>77.000000000000014</v>
      </c>
      <c r="W21" s="7">
        <f t="shared" si="6"/>
        <v>77.000000000000014</v>
      </c>
      <c r="X21" s="7">
        <f t="shared" si="6"/>
        <v>77.000000000000014</v>
      </c>
      <c r="Y21" s="7">
        <f t="shared" si="6"/>
        <v>77.000000000000014</v>
      </c>
      <c r="Z21" s="7">
        <f t="shared" si="6"/>
        <v>77.000000000000014</v>
      </c>
      <c r="AA21" s="7">
        <f t="shared" si="6"/>
        <v>77.000000000000014</v>
      </c>
      <c r="AB21" s="7">
        <f t="shared" si="6"/>
        <v>77.000000000000014</v>
      </c>
      <c r="AC21" s="7">
        <f t="shared" si="6"/>
        <v>77.000000000000014</v>
      </c>
      <c r="AD21" s="7">
        <f t="shared" si="6"/>
        <v>77.000000000000014</v>
      </c>
      <c r="AE21" s="7">
        <f t="shared" si="6"/>
        <v>77.000000000000014</v>
      </c>
      <c r="AF21" s="7">
        <f t="shared" si="6"/>
        <v>77.000000000000014</v>
      </c>
      <c r="AG21" s="7">
        <f t="shared" si="6"/>
        <v>77.000000000000014</v>
      </c>
      <c r="AH21" s="7">
        <f t="shared" si="6"/>
        <v>127</v>
      </c>
      <c r="AI21" s="7">
        <f t="shared" si="6"/>
        <v>127</v>
      </c>
      <c r="AJ21" s="7">
        <f t="shared" si="6"/>
        <v>127</v>
      </c>
      <c r="AK21" s="7">
        <f t="shared" si="6"/>
        <v>127</v>
      </c>
      <c r="AL21" s="7">
        <f t="shared" si="6"/>
        <v>127</v>
      </c>
      <c r="AM21" s="7">
        <f t="shared" si="6"/>
        <v>127</v>
      </c>
      <c r="AN21" s="7">
        <f t="shared" si="6"/>
        <v>127</v>
      </c>
      <c r="AO21" s="7">
        <f t="shared" si="6"/>
        <v>127</v>
      </c>
      <c r="AP21" s="7">
        <f t="shared" si="6"/>
        <v>127</v>
      </c>
      <c r="AQ21" s="7">
        <f t="shared" si="6"/>
        <v>127</v>
      </c>
      <c r="AR21" s="7">
        <f t="shared" si="6"/>
        <v>127</v>
      </c>
    </row>
    <row r="22" spans="1:44">
      <c r="A22" s="13" t="s">
        <v>287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>
      <c r="A23" s="55" t="s">
        <v>191</v>
      </c>
      <c r="B23" s="31"/>
      <c r="C23" s="31"/>
      <c r="D23" s="31"/>
      <c r="E23" s="31"/>
      <c r="F23" s="31"/>
      <c r="G23" s="31"/>
      <c r="H23" s="31"/>
      <c r="I23" s="31">
        <f>SUM(I11:I22)</f>
        <v>7455.0199957333334</v>
      </c>
      <c r="J23" s="31">
        <f>SUM(J11:J22)</f>
        <v>11696.649989333333</v>
      </c>
      <c r="K23" s="31">
        <f t="shared" ref="K23:AR23" si="7">SUM(K11:K22)</f>
        <v>14623.499989333335</v>
      </c>
      <c r="L23" s="31">
        <f t="shared" si="7"/>
        <v>11902.949989333332</v>
      </c>
      <c r="M23" s="31">
        <f t="shared" si="7"/>
        <v>15170.299989333334</v>
      </c>
      <c r="N23" s="31">
        <f t="shared" si="7"/>
        <v>12378.599989333334</v>
      </c>
      <c r="O23" s="31">
        <f t="shared" si="7"/>
        <v>13149.749989333335</v>
      </c>
      <c r="P23" s="31">
        <f t="shared" si="7"/>
        <v>13116.349989333334</v>
      </c>
      <c r="Q23" s="31">
        <f t="shared" si="7"/>
        <v>13117.449989333334</v>
      </c>
      <c r="R23" s="31">
        <f t="shared" si="7"/>
        <v>15986.399989333335</v>
      </c>
      <c r="S23" s="31">
        <f t="shared" si="7"/>
        <v>16441.099989333336</v>
      </c>
      <c r="T23" s="31">
        <f t="shared" si="7"/>
        <v>17106.449989333334</v>
      </c>
      <c r="U23" s="31">
        <f t="shared" si="7"/>
        <v>17531.789982222221</v>
      </c>
      <c r="V23" s="31">
        <f t="shared" si="7"/>
        <v>17037.214980444445</v>
      </c>
      <c r="W23" s="31">
        <f t="shared" si="7"/>
        <v>20403.014980444445</v>
      </c>
      <c r="X23" s="31">
        <f t="shared" si="7"/>
        <v>20853.989978666668</v>
      </c>
      <c r="Y23" s="31">
        <f t="shared" si="7"/>
        <v>20102.914980444446</v>
      </c>
      <c r="Z23" s="31">
        <f t="shared" si="7"/>
        <v>19399.514976888888</v>
      </c>
      <c r="AA23" s="31">
        <f t="shared" si="7"/>
        <v>22825.039975111111</v>
      </c>
      <c r="AB23" s="31">
        <f t="shared" si="7"/>
        <v>22953.08997511111</v>
      </c>
      <c r="AC23" s="31">
        <f t="shared" si="7"/>
        <v>23486.614976888886</v>
      </c>
      <c r="AD23" s="31">
        <f t="shared" si="7"/>
        <v>20890.714980444445</v>
      </c>
      <c r="AE23" s="31">
        <f t="shared" si="7"/>
        <v>23514.614980444443</v>
      </c>
      <c r="AF23" s="31">
        <f t="shared" si="7"/>
        <v>20856.314980444444</v>
      </c>
      <c r="AG23" s="31">
        <f t="shared" si="7"/>
        <v>22649.139978666666</v>
      </c>
      <c r="AH23" s="31">
        <f t="shared" si="7"/>
        <v>31210.545184142775</v>
      </c>
      <c r="AI23" s="31">
        <f t="shared" si="7"/>
        <v>30253.820182364998</v>
      </c>
      <c r="AJ23" s="31">
        <f t="shared" si="7"/>
        <v>31354.120182364997</v>
      </c>
      <c r="AK23" s="31">
        <f t="shared" si="7"/>
        <v>31420.545180587218</v>
      </c>
      <c r="AL23" s="31">
        <f t="shared" si="7"/>
        <v>34002.395177031663</v>
      </c>
      <c r="AM23" s="31">
        <f t="shared" si="7"/>
        <v>34866.295177031665</v>
      </c>
      <c r="AN23" s="31">
        <f t="shared" si="7"/>
        <v>34489.37017880944</v>
      </c>
      <c r="AO23" s="31">
        <f t="shared" si="7"/>
        <v>34930.995180587219</v>
      </c>
      <c r="AP23" s="31">
        <f t="shared" si="7"/>
        <v>35038.295180587222</v>
      </c>
      <c r="AQ23" s="31">
        <f t="shared" si="7"/>
        <v>34856.870182364997</v>
      </c>
      <c r="AR23" s="31">
        <f t="shared" si="7"/>
        <v>33863.62518769833</v>
      </c>
    </row>
    <row r="24" spans="1:44">
      <c r="A24" s="13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>
      <c r="A25" s="15" t="s">
        <v>28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>
      <c r="A26" s="13" t="s">
        <v>29</v>
      </c>
      <c r="B26" s="7"/>
      <c r="C26" s="7"/>
      <c r="D26" s="7"/>
      <c r="E26" s="7"/>
      <c r="F26" s="7">
        <v>3250</v>
      </c>
      <c r="G26" s="7">
        <v>3250</v>
      </c>
      <c r="H26" s="7">
        <v>3250</v>
      </c>
      <c r="I26" s="7">
        <v>3250</v>
      </c>
      <c r="J26" s="7">
        <v>3250</v>
      </c>
      <c r="K26" s="7">
        <v>3250</v>
      </c>
      <c r="L26" s="7">
        <v>3250</v>
      </c>
      <c r="M26" s="7">
        <v>3250</v>
      </c>
      <c r="N26" s="7">
        <v>3250</v>
      </c>
      <c r="O26" s="7">
        <v>3250</v>
      </c>
      <c r="P26" s="7">
        <v>3250</v>
      </c>
      <c r="Q26" s="7">
        <v>3250</v>
      </c>
      <c r="R26" s="7">
        <v>3250</v>
      </c>
      <c r="S26" s="7">
        <v>3250</v>
      </c>
      <c r="T26" s="7">
        <v>3250</v>
      </c>
      <c r="U26" s="7">
        <v>3250</v>
      </c>
      <c r="V26" s="7">
        <v>3250</v>
      </c>
      <c r="W26" s="7">
        <v>3250</v>
      </c>
      <c r="X26" s="7">
        <v>3250</v>
      </c>
      <c r="Y26" s="7">
        <v>3250</v>
      </c>
      <c r="Z26" s="7">
        <v>3250</v>
      </c>
      <c r="AA26" s="7">
        <v>3250</v>
      </c>
      <c r="AB26" s="7">
        <v>3250</v>
      </c>
      <c r="AC26" s="7">
        <v>3250</v>
      </c>
      <c r="AD26" s="7">
        <v>3250</v>
      </c>
      <c r="AE26" s="7">
        <v>3250</v>
      </c>
      <c r="AF26" s="7">
        <v>3250</v>
      </c>
      <c r="AG26" s="7">
        <v>3250</v>
      </c>
      <c r="AH26" s="7">
        <v>3250</v>
      </c>
      <c r="AI26" s="7">
        <v>3250</v>
      </c>
      <c r="AJ26" s="7">
        <v>3250</v>
      </c>
      <c r="AK26" s="7">
        <v>3250</v>
      </c>
      <c r="AL26" s="7">
        <v>3250</v>
      </c>
      <c r="AM26" s="7">
        <v>3250</v>
      </c>
      <c r="AN26" s="7">
        <v>3250</v>
      </c>
      <c r="AO26" s="7">
        <v>3250</v>
      </c>
      <c r="AP26" s="7">
        <v>3250</v>
      </c>
      <c r="AQ26" s="7">
        <v>3250</v>
      </c>
      <c r="AR26" s="7">
        <v>3250</v>
      </c>
    </row>
    <row r="27" spans="1:44">
      <c r="A27" s="13" t="s">
        <v>241</v>
      </c>
      <c r="B27" s="7">
        <v>600</v>
      </c>
      <c r="C27" s="7">
        <v>600</v>
      </c>
      <c r="D27" s="7">
        <v>600</v>
      </c>
      <c r="E27" s="7">
        <v>600</v>
      </c>
      <c r="F27" s="7">
        <v>600</v>
      </c>
      <c r="G27" s="7">
        <v>600</v>
      </c>
      <c r="H27" s="7">
        <v>1000</v>
      </c>
      <c r="I27" s="7">
        <v>1000</v>
      </c>
      <c r="J27" s="7">
        <v>1000</v>
      </c>
      <c r="K27" s="7">
        <v>1000</v>
      </c>
      <c r="L27" s="7">
        <v>1000</v>
      </c>
      <c r="M27" s="7">
        <v>1250</v>
      </c>
      <c r="N27" s="7">
        <v>1250</v>
      </c>
      <c r="O27" s="7">
        <v>1250</v>
      </c>
      <c r="P27" s="7">
        <v>1250</v>
      </c>
      <c r="Q27" s="7">
        <v>1500</v>
      </c>
      <c r="R27" s="7">
        <v>1500</v>
      </c>
      <c r="S27" s="7">
        <v>1500</v>
      </c>
      <c r="T27" s="7">
        <v>1500</v>
      </c>
      <c r="U27" s="7">
        <v>1000</v>
      </c>
      <c r="V27" s="7">
        <v>1000</v>
      </c>
      <c r="W27" s="7">
        <v>1000</v>
      </c>
      <c r="X27" s="7">
        <v>1000</v>
      </c>
      <c r="Y27" s="7">
        <v>1000</v>
      </c>
      <c r="Z27" s="7">
        <v>1000</v>
      </c>
      <c r="AA27" s="7">
        <v>1000</v>
      </c>
      <c r="AB27" s="7">
        <v>1000</v>
      </c>
      <c r="AC27" s="7">
        <v>1000</v>
      </c>
      <c r="AD27" s="7">
        <v>1000</v>
      </c>
      <c r="AE27" s="7">
        <v>1000</v>
      </c>
      <c r="AF27" s="7">
        <v>1000</v>
      </c>
      <c r="AG27" s="7">
        <v>1000</v>
      </c>
      <c r="AH27" s="7">
        <v>1000</v>
      </c>
      <c r="AI27" s="7">
        <v>1000</v>
      </c>
      <c r="AJ27" s="7">
        <v>1000</v>
      </c>
      <c r="AK27" s="7">
        <v>1000</v>
      </c>
      <c r="AL27" s="7">
        <v>1000</v>
      </c>
      <c r="AM27" s="7">
        <v>1000</v>
      </c>
      <c r="AN27" s="7">
        <v>1000</v>
      </c>
      <c r="AO27" s="7">
        <v>1000</v>
      </c>
      <c r="AP27" s="7">
        <v>1000</v>
      </c>
      <c r="AQ27" s="7">
        <v>1000</v>
      </c>
      <c r="AR27" s="7">
        <v>1000</v>
      </c>
    </row>
    <row r="28" spans="1:44">
      <c r="A28" s="13" t="s">
        <v>30</v>
      </c>
      <c r="B28" s="7">
        <v>300</v>
      </c>
      <c r="C28" s="7">
        <v>300</v>
      </c>
      <c r="D28" s="7">
        <v>300</v>
      </c>
      <c r="E28" s="7">
        <v>300</v>
      </c>
      <c r="F28" s="7">
        <v>300</v>
      </c>
      <c r="G28" s="7">
        <v>300</v>
      </c>
      <c r="H28" s="7">
        <v>300</v>
      </c>
      <c r="I28" s="7">
        <v>300</v>
      </c>
      <c r="J28" s="7">
        <v>300</v>
      </c>
      <c r="K28" s="7">
        <v>300</v>
      </c>
      <c r="L28" s="7">
        <v>300</v>
      </c>
      <c r="M28" s="7">
        <v>300</v>
      </c>
      <c r="N28" s="7">
        <v>300</v>
      </c>
      <c r="O28" s="7">
        <v>300</v>
      </c>
      <c r="P28" s="7">
        <v>300</v>
      </c>
      <c r="Q28" s="7">
        <v>300</v>
      </c>
      <c r="R28" s="7">
        <v>300</v>
      </c>
      <c r="S28" s="7">
        <v>300</v>
      </c>
      <c r="T28" s="7">
        <v>300</v>
      </c>
      <c r="U28" s="7">
        <v>300</v>
      </c>
      <c r="V28" s="7">
        <v>300</v>
      </c>
      <c r="W28" s="7">
        <v>300</v>
      </c>
      <c r="X28" s="7">
        <v>300</v>
      </c>
      <c r="Y28" s="7">
        <v>300</v>
      </c>
      <c r="Z28" s="7">
        <v>300</v>
      </c>
      <c r="AA28" s="7">
        <v>300</v>
      </c>
      <c r="AB28" s="7">
        <v>300</v>
      </c>
      <c r="AC28" s="7">
        <v>300</v>
      </c>
      <c r="AD28" s="7">
        <v>300</v>
      </c>
      <c r="AE28" s="7">
        <v>300</v>
      </c>
      <c r="AF28" s="7">
        <v>300</v>
      </c>
      <c r="AG28" s="7">
        <v>300</v>
      </c>
      <c r="AH28" s="7">
        <v>300</v>
      </c>
      <c r="AI28" s="7">
        <v>300</v>
      </c>
      <c r="AJ28" s="7">
        <v>300</v>
      </c>
      <c r="AK28" s="7">
        <v>300</v>
      </c>
      <c r="AL28" s="7">
        <v>300</v>
      </c>
      <c r="AM28" s="7">
        <v>300</v>
      </c>
      <c r="AN28" s="7">
        <v>300</v>
      </c>
      <c r="AO28" s="7">
        <v>300</v>
      </c>
      <c r="AP28" s="7">
        <v>300</v>
      </c>
      <c r="AQ28" s="7">
        <v>300</v>
      </c>
      <c r="AR28" s="7">
        <v>300</v>
      </c>
    </row>
    <row r="29" spans="1:44">
      <c r="A29" s="13" t="s">
        <v>286</v>
      </c>
      <c r="B29" s="7"/>
      <c r="C29" s="7"/>
      <c r="D29" s="7"/>
      <c r="E29" s="7"/>
      <c r="F29" s="7"/>
      <c r="G29" s="7"/>
      <c r="H29" s="7">
        <v>500</v>
      </c>
      <c r="I29" s="7">
        <v>500</v>
      </c>
      <c r="J29" s="7">
        <v>500</v>
      </c>
      <c r="K29" s="7">
        <v>500</v>
      </c>
      <c r="L29" s="7">
        <v>500</v>
      </c>
      <c r="M29" s="7">
        <v>500</v>
      </c>
      <c r="N29" s="7">
        <v>500</v>
      </c>
      <c r="O29" s="7">
        <v>500</v>
      </c>
      <c r="P29" s="7">
        <v>500</v>
      </c>
      <c r="Q29" s="7">
        <v>500</v>
      </c>
      <c r="R29" s="7">
        <v>500</v>
      </c>
      <c r="S29" s="7">
        <v>500</v>
      </c>
      <c r="T29" s="7">
        <v>500</v>
      </c>
      <c r="U29" s="7">
        <v>500</v>
      </c>
      <c r="V29" s="7">
        <v>500</v>
      </c>
      <c r="W29" s="7">
        <v>500</v>
      </c>
      <c r="X29" s="7">
        <v>500</v>
      </c>
      <c r="Y29" s="7">
        <v>500</v>
      </c>
      <c r="Z29" s="7">
        <v>500</v>
      </c>
      <c r="AA29" s="7">
        <v>500</v>
      </c>
      <c r="AB29" s="7">
        <v>500</v>
      </c>
      <c r="AC29" s="7">
        <v>500</v>
      </c>
      <c r="AD29" s="7">
        <v>500</v>
      </c>
      <c r="AE29" s="7">
        <v>500</v>
      </c>
      <c r="AF29" s="7">
        <v>500</v>
      </c>
      <c r="AG29" s="7">
        <v>500</v>
      </c>
      <c r="AH29" s="7">
        <v>500</v>
      </c>
      <c r="AI29" s="7">
        <v>500</v>
      </c>
      <c r="AJ29" s="7">
        <v>500</v>
      </c>
      <c r="AK29" s="7">
        <v>500</v>
      </c>
      <c r="AL29" s="7">
        <v>500</v>
      </c>
      <c r="AM29" s="7">
        <v>500</v>
      </c>
      <c r="AN29" s="7">
        <v>500</v>
      </c>
      <c r="AO29" s="7">
        <v>500</v>
      </c>
      <c r="AP29" s="7">
        <v>500</v>
      </c>
      <c r="AQ29" s="7">
        <v>500</v>
      </c>
      <c r="AR29" s="7">
        <v>500</v>
      </c>
    </row>
    <row r="30" spans="1:44">
      <c r="A30" s="13" t="s">
        <v>31</v>
      </c>
      <c r="B30" s="7"/>
      <c r="C30" s="7"/>
      <c r="D30" s="7"/>
      <c r="E30" s="7"/>
      <c r="F30" s="7"/>
      <c r="G30" s="7"/>
      <c r="H30" s="7">
        <v>1000</v>
      </c>
      <c r="I30" s="7">
        <v>1000</v>
      </c>
      <c r="J30" s="7">
        <v>1000</v>
      </c>
      <c r="K30" s="7">
        <v>1000</v>
      </c>
      <c r="L30" s="7">
        <v>1000</v>
      </c>
      <c r="M30" s="7">
        <v>1000</v>
      </c>
      <c r="N30" s="7">
        <v>1000</v>
      </c>
      <c r="O30" s="7">
        <v>1000</v>
      </c>
      <c r="P30" s="7">
        <v>1000</v>
      </c>
      <c r="Q30" s="7">
        <v>1000</v>
      </c>
      <c r="R30" s="7">
        <v>1000</v>
      </c>
      <c r="S30" s="7">
        <v>1000</v>
      </c>
      <c r="T30" s="7">
        <v>1000</v>
      </c>
      <c r="U30" s="7">
        <v>1000</v>
      </c>
      <c r="V30" s="7">
        <v>1000</v>
      </c>
      <c r="W30" s="7">
        <v>1000</v>
      </c>
      <c r="X30" s="7">
        <v>1000</v>
      </c>
      <c r="Y30" s="7">
        <v>1000</v>
      </c>
      <c r="Z30" s="7">
        <v>1000</v>
      </c>
      <c r="AA30" s="7">
        <v>1000</v>
      </c>
      <c r="AB30" s="7">
        <v>1000</v>
      </c>
      <c r="AC30" s="7">
        <v>1000</v>
      </c>
      <c r="AD30" s="7">
        <v>1000</v>
      </c>
      <c r="AE30" s="7">
        <v>1000</v>
      </c>
      <c r="AF30" s="7">
        <v>1000</v>
      </c>
      <c r="AG30" s="7">
        <v>1000</v>
      </c>
      <c r="AH30" s="7">
        <v>1000</v>
      </c>
      <c r="AI30" s="7">
        <v>1000</v>
      </c>
      <c r="AJ30" s="7">
        <v>1000</v>
      </c>
      <c r="AK30" s="7">
        <v>1000</v>
      </c>
      <c r="AL30" s="7">
        <v>1000</v>
      </c>
      <c r="AM30" s="7">
        <v>1000</v>
      </c>
      <c r="AN30" s="7">
        <v>1000</v>
      </c>
      <c r="AO30" s="7">
        <v>1000</v>
      </c>
      <c r="AP30" s="7">
        <v>1000</v>
      </c>
      <c r="AQ30" s="7">
        <v>1000</v>
      </c>
      <c r="AR30" s="7">
        <v>1000</v>
      </c>
    </row>
    <row r="31" spans="1:44">
      <c r="A31" s="13" t="s">
        <v>32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>
        <v>300</v>
      </c>
      <c r="AM31" s="7">
        <v>300</v>
      </c>
      <c r="AN31" s="7">
        <v>300</v>
      </c>
      <c r="AO31" s="7">
        <v>300</v>
      </c>
      <c r="AP31" s="7">
        <v>300</v>
      </c>
      <c r="AQ31" s="7">
        <v>300</v>
      </c>
      <c r="AR31" s="7">
        <v>300</v>
      </c>
    </row>
    <row r="32" spans="1:44">
      <c r="A32" s="13" t="s">
        <v>33</v>
      </c>
      <c r="B32" s="7"/>
      <c r="C32" s="7"/>
      <c r="D32" s="7"/>
      <c r="E32" s="7"/>
      <c r="F32" s="7"/>
      <c r="G32" s="7">
        <v>1000</v>
      </c>
      <c r="H32" s="7">
        <v>1000</v>
      </c>
      <c r="I32" s="7">
        <v>1000</v>
      </c>
      <c r="J32" s="7">
        <v>1000</v>
      </c>
      <c r="K32" s="7">
        <v>1000</v>
      </c>
      <c r="L32" s="7">
        <v>1000</v>
      </c>
      <c r="M32" s="7">
        <v>1000</v>
      </c>
      <c r="N32" s="7">
        <v>1000</v>
      </c>
      <c r="O32" s="7">
        <v>1000</v>
      </c>
      <c r="P32" s="7">
        <v>1000</v>
      </c>
      <c r="Q32" s="7">
        <v>1000</v>
      </c>
      <c r="R32" s="7">
        <v>1000</v>
      </c>
      <c r="S32" s="7">
        <v>1000</v>
      </c>
      <c r="T32" s="7">
        <v>1000</v>
      </c>
      <c r="U32" s="7">
        <v>1000</v>
      </c>
      <c r="V32" s="7">
        <v>1000</v>
      </c>
      <c r="W32" s="7">
        <v>1000</v>
      </c>
      <c r="X32" s="7">
        <v>1000</v>
      </c>
      <c r="Y32" s="7">
        <v>1000</v>
      </c>
      <c r="Z32" s="7">
        <v>1000</v>
      </c>
      <c r="AA32" s="7">
        <v>1000</v>
      </c>
      <c r="AB32" s="7">
        <v>1000</v>
      </c>
      <c r="AC32" s="7">
        <v>1000</v>
      </c>
      <c r="AD32" s="7">
        <v>1000</v>
      </c>
      <c r="AE32" s="7">
        <v>1000</v>
      </c>
      <c r="AF32" s="7">
        <v>1000</v>
      </c>
      <c r="AG32" s="7">
        <v>1000</v>
      </c>
      <c r="AH32" s="7">
        <v>1000</v>
      </c>
      <c r="AI32" s="7">
        <v>1000</v>
      </c>
      <c r="AJ32" s="7">
        <v>1000</v>
      </c>
      <c r="AK32" s="7">
        <v>1000</v>
      </c>
      <c r="AL32" s="7">
        <v>1000</v>
      </c>
      <c r="AM32" s="7">
        <v>1000</v>
      </c>
      <c r="AN32" s="7">
        <v>1000</v>
      </c>
      <c r="AO32" s="7">
        <v>1000</v>
      </c>
      <c r="AP32" s="7">
        <v>1000</v>
      </c>
      <c r="AQ32" s="7">
        <v>1000</v>
      </c>
      <c r="AR32" s="7">
        <v>1000</v>
      </c>
    </row>
    <row r="33" spans="1:44">
      <c r="A33" s="13" t="s">
        <v>34</v>
      </c>
      <c r="B33" s="7">
        <v>800</v>
      </c>
      <c r="C33" s="7">
        <v>800</v>
      </c>
      <c r="D33" s="7">
        <v>800</v>
      </c>
      <c r="E33" s="7">
        <v>800</v>
      </c>
      <c r="F33" s="7">
        <v>800</v>
      </c>
      <c r="G33" s="7">
        <v>800</v>
      </c>
      <c r="H33" s="7">
        <v>800</v>
      </c>
      <c r="I33" s="7">
        <v>800</v>
      </c>
      <c r="J33" s="7">
        <v>800</v>
      </c>
      <c r="K33" s="7">
        <v>800</v>
      </c>
      <c r="L33" s="7">
        <v>800</v>
      </c>
      <c r="M33" s="7">
        <v>800</v>
      </c>
      <c r="N33" s="7">
        <v>800</v>
      </c>
      <c r="O33" s="7">
        <v>800</v>
      </c>
      <c r="P33" s="7">
        <v>800</v>
      </c>
      <c r="Q33" s="7">
        <v>800</v>
      </c>
      <c r="R33" s="7">
        <v>800</v>
      </c>
      <c r="S33" s="7">
        <v>800</v>
      </c>
      <c r="T33" s="7">
        <v>800</v>
      </c>
      <c r="U33" s="7">
        <v>800</v>
      </c>
      <c r="V33" s="7">
        <v>800</v>
      </c>
      <c r="W33" s="7">
        <v>800</v>
      </c>
      <c r="X33" s="7">
        <v>800</v>
      </c>
      <c r="Y33" s="7">
        <v>800</v>
      </c>
      <c r="Z33" s="7">
        <v>800</v>
      </c>
      <c r="AA33" s="7">
        <v>800</v>
      </c>
      <c r="AB33" s="7">
        <v>800</v>
      </c>
      <c r="AC33" s="7">
        <v>800</v>
      </c>
      <c r="AD33" s="7">
        <v>800</v>
      </c>
      <c r="AE33" s="7">
        <v>800</v>
      </c>
      <c r="AF33" s="7">
        <v>800</v>
      </c>
      <c r="AG33" s="7">
        <v>800</v>
      </c>
      <c r="AH33" s="7">
        <v>800</v>
      </c>
      <c r="AI33" s="7">
        <v>800</v>
      </c>
      <c r="AJ33" s="7">
        <v>800</v>
      </c>
      <c r="AK33" s="7">
        <v>800</v>
      </c>
      <c r="AL33" s="7">
        <v>800</v>
      </c>
      <c r="AM33" s="7">
        <v>800</v>
      </c>
      <c r="AN33" s="7">
        <v>800</v>
      </c>
      <c r="AO33" s="7">
        <v>800</v>
      </c>
      <c r="AP33" s="7">
        <v>800</v>
      </c>
      <c r="AQ33" s="7">
        <v>800</v>
      </c>
      <c r="AR33" s="7">
        <v>800</v>
      </c>
    </row>
    <row r="34" spans="1:44">
      <c r="A34" s="13" t="s">
        <v>35</v>
      </c>
      <c r="B34" s="7"/>
      <c r="C34" s="7"/>
      <c r="D34" s="7"/>
      <c r="E34" s="7"/>
      <c r="F34" s="7"/>
      <c r="G34" s="7"/>
      <c r="H34" s="7">
        <v>5000</v>
      </c>
      <c r="I34" s="7"/>
      <c r="J34" s="7"/>
      <c r="K34" s="7"/>
      <c r="L34" s="7">
        <v>2000</v>
      </c>
      <c r="M34" s="7"/>
      <c r="N34" s="7"/>
      <c r="O34" s="7"/>
      <c r="P34" s="7"/>
      <c r="Q34" s="7"/>
      <c r="R34" s="7"/>
      <c r="S34" s="7"/>
      <c r="T34" s="7">
        <v>5000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>
      <c r="A35" s="13" t="s">
        <v>36</v>
      </c>
      <c r="B35" s="7"/>
      <c r="C35" s="7"/>
      <c r="D35" s="7"/>
      <c r="E35" s="7"/>
      <c r="F35" s="7"/>
      <c r="G35" s="7"/>
      <c r="H35" s="7"/>
      <c r="I35" s="7">
        <v>500</v>
      </c>
      <c r="J35" s="7">
        <v>500</v>
      </c>
      <c r="K35" s="7">
        <v>500</v>
      </c>
      <c r="L35" s="7">
        <v>500</v>
      </c>
      <c r="M35" s="7">
        <v>500</v>
      </c>
      <c r="N35" s="7">
        <v>500</v>
      </c>
      <c r="O35" s="7">
        <v>500</v>
      </c>
      <c r="P35" s="7">
        <v>500</v>
      </c>
      <c r="Q35" s="7">
        <v>500</v>
      </c>
      <c r="R35" s="7">
        <v>500</v>
      </c>
      <c r="S35" s="7">
        <v>500</v>
      </c>
      <c r="T35" s="7">
        <v>500</v>
      </c>
      <c r="U35" s="7">
        <v>500</v>
      </c>
      <c r="V35" s="7">
        <v>500</v>
      </c>
      <c r="W35" s="7">
        <v>500</v>
      </c>
      <c r="X35" s="7">
        <v>500</v>
      </c>
      <c r="Y35" s="7">
        <v>500</v>
      </c>
      <c r="Z35" s="7">
        <v>500</v>
      </c>
      <c r="AA35" s="7">
        <v>500</v>
      </c>
      <c r="AB35" s="7">
        <v>500</v>
      </c>
      <c r="AC35" s="7">
        <v>500</v>
      </c>
      <c r="AD35" s="7">
        <v>500</v>
      </c>
      <c r="AE35" s="7">
        <v>500</v>
      </c>
      <c r="AF35" s="7">
        <v>500</v>
      </c>
      <c r="AG35" s="7">
        <v>500</v>
      </c>
      <c r="AH35" s="7">
        <v>500</v>
      </c>
      <c r="AI35" s="7">
        <v>500</v>
      </c>
      <c r="AJ35" s="7">
        <v>500</v>
      </c>
      <c r="AK35" s="7">
        <v>500</v>
      </c>
      <c r="AL35" s="7">
        <v>500</v>
      </c>
      <c r="AM35" s="7">
        <v>500</v>
      </c>
      <c r="AN35" s="7">
        <v>500</v>
      </c>
      <c r="AO35" s="7">
        <v>500</v>
      </c>
      <c r="AP35" s="7">
        <v>500</v>
      </c>
      <c r="AQ35" s="7">
        <v>500</v>
      </c>
      <c r="AR35" s="7">
        <v>500</v>
      </c>
    </row>
    <row r="36" spans="1:44">
      <c r="A36" s="15" t="s">
        <v>292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>
      <c r="A37" s="13" t="s">
        <v>37</v>
      </c>
      <c r="B37" s="7">
        <v>5000</v>
      </c>
      <c r="C37" s="7">
        <v>5000</v>
      </c>
      <c r="D37" s="7">
        <v>5000</v>
      </c>
      <c r="E37" s="7">
        <v>5000</v>
      </c>
      <c r="F37" s="7">
        <v>5000</v>
      </c>
      <c r="G37" s="7">
        <v>5000</v>
      </c>
      <c r="H37" s="7">
        <v>5000</v>
      </c>
      <c r="I37" s="7">
        <f>10860-3500</f>
        <v>7360</v>
      </c>
      <c r="J37" s="7">
        <f t="shared" ref="J37:T37" si="8">10860-3500</f>
        <v>7360</v>
      </c>
      <c r="K37" s="7">
        <f t="shared" si="8"/>
        <v>7360</v>
      </c>
      <c r="L37" s="7">
        <f t="shared" si="8"/>
        <v>7360</v>
      </c>
      <c r="M37" s="7">
        <f t="shared" si="8"/>
        <v>7360</v>
      </c>
      <c r="N37" s="7">
        <f t="shared" si="8"/>
        <v>7360</v>
      </c>
      <c r="O37" s="7">
        <f t="shared" si="8"/>
        <v>7360</v>
      </c>
      <c r="P37" s="7">
        <f t="shared" si="8"/>
        <v>7360</v>
      </c>
      <c r="Q37" s="7">
        <f t="shared" si="8"/>
        <v>7360</v>
      </c>
      <c r="R37" s="7">
        <f t="shared" si="8"/>
        <v>7360</v>
      </c>
      <c r="S37" s="7">
        <f t="shared" si="8"/>
        <v>7360</v>
      </c>
      <c r="T37" s="7">
        <f t="shared" si="8"/>
        <v>7360</v>
      </c>
      <c r="U37" s="7">
        <f>10910-U18</f>
        <v>7060</v>
      </c>
      <c r="V37" s="7">
        <f>10910-V18</f>
        <v>7060</v>
      </c>
      <c r="W37" s="7">
        <f t="shared" ref="W37:AF37" si="9">10910-W18</f>
        <v>7060</v>
      </c>
      <c r="X37" s="7">
        <f t="shared" si="9"/>
        <v>7060</v>
      </c>
      <c r="Y37" s="7">
        <f t="shared" si="9"/>
        <v>7060</v>
      </c>
      <c r="Z37" s="7">
        <f t="shared" si="9"/>
        <v>7060</v>
      </c>
      <c r="AA37" s="7">
        <f t="shared" si="9"/>
        <v>7060</v>
      </c>
      <c r="AB37" s="7">
        <f t="shared" si="9"/>
        <v>7060</v>
      </c>
      <c r="AC37" s="7">
        <f t="shared" si="9"/>
        <v>7060</v>
      </c>
      <c r="AD37" s="7">
        <f t="shared" si="9"/>
        <v>7060</v>
      </c>
      <c r="AE37" s="7">
        <f t="shared" si="9"/>
        <v>7060</v>
      </c>
      <c r="AF37" s="7">
        <f t="shared" si="9"/>
        <v>7060</v>
      </c>
      <c r="AG37" s="7">
        <f>10910-AG18</f>
        <v>7060</v>
      </c>
      <c r="AH37" s="7">
        <f>13510-AH18</f>
        <v>7160</v>
      </c>
      <c r="AI37" s="7">
        <f t="shared" ref="AI37:AR37" si="10">13510-AI18</f>
        <v>7160</v>
      </c>
      <c r="AJ37" s="7">
        <f t="shared" si="10"/>
        <v>7160</v>
      </c>
      <c r="AK37" s="7">
        <f t="shared" si="10"/>
        <v>7160</v>
      </c>
      <c r="AL37" s="7">
        <f t="shared" si="10"/>
        <v>7160</v>
      </c>
      <c r="AM37" s="7">
        <f t="shared" si="10"/>
        <v>7160</v>
      </c>
      <c r="AN37" s="7">
        <f t="shared" si="10"/>
        <v>7160</v>
      </c>
      <c r="AO37" s="7">
        <f t="shared" si="10"/>
        <v>7160</v>
      </c>
      <c r="AP37" s="7">
        <f t="shared" si="10"/>
        <v>7160</v>
      </c>
      <c r="AQ37" s="7">
        <f t="shared" si="10"/>
        <v>7160</v>
      </c>
      <c r="AR37" s="7">
        <f t="shared" si="10"/>
        <v>7160</v>
      </c>
    </row>
    <row r="38" spans="1:44">
      <c r="A38" s="13" t="s">
        <v>289</v>
      </c>
      <c r="B38" s="7">
        <f t="shared" ref="B38:G38" si="11">382.5+311.59</f>
        <v>694.08999999999992</v>
      </c>
      <c r="C38" s="7">
        <f t="shared" si="11"/>
        <v>694.08999999999992</v>
      </c>
      <c r="D38" s="7">
        <f t="shared" si="11"/>
        <v>694.08999999999992</v>
      </c>
      <c r="E38" s="7">
        <f t="shared" si="11"/>
        <v>694.08999999999992</v>
      </c>
      <c r="F38" s="7">
        <f t="shared" si="11"/>
        <v>694.08999999999992</v>
      </c>
      <c r="G38" s="7">
        <f t="shared" si="11"/>
        <v>694.08999999999992</v>
      </c>
      <c r="H38" s="7">
        <f>765+37.33+623.18</f>
        <v>1425.51</v>
      </c>
      <c r="I38" s="7">
        <f>830.79+714.1-I19</f>
        <v>1004.4899999999999</v>
      </c>
      <c r="J38" s="7">
        <f t="shared" ref="J38:T38" si="12">830.79+714.1-J19</f>
        <v>1004.4899999999999</v>
      </c>
      <c r="K38" s="7">
        <f t="shared" si="12"/>
        <v>1004.4899999999999</v>
      </c>
      <c r="L38" s="7">
        <f t="shared" si="12"/>
        <v>1004.4899999999999</v>
      </c>
      <c r="M38" s="7">
        <f t="shared" si="12"/>
        <v>1004.4899999999999</v>
      </c>
      <c r="N38" s="7">
        <f t="shared" si="12"/>
        <v>1004.4899999999999</v>
      </c>
      <c r="O38" s="7">
        <f t="shared" si="12"/>
        <v>1004.4899999999999</v>
      </c>
      <c r="P38" s="7">
        <f t="shared" si="12"/>
        <v>1004.4899999999999</v>
      </c>
      <c r="Q38" s="7">
        <f t="shared" si="12"/>
        <v>1004.4899999999999</v>
      </c>
      <c r="R38" s="7">
        <f t="shared" si="12"/>
        <v>1004.4899999999999</v>
      </c>
      <c r="S38" s="7">
        <f t="shared" si="12"/>
        <v>1004.4899999999999</v>
      </c>
      <c r="T38" s="7">
        <f t="shared" si="12"/>
        <v>1004.4899999999999</v>
      </c>
      <c r="U38" s="7">
        <f>834.62+714.1-U19</f>
        <v>954.28</v>
      </c>
      <c r="V38" s="7">
        <f t="shared" ref="V38:AF38" si="13">834.62+714.1-V19</f>
        <v>954.28</v>
      </c>
      <c r="W38" s="7">
        <f t="shared" si="13"/>
        <v>954.28</v>
      </c>
      <c r="X38" s="7">
        <f t="shared" si="13"/>
        <v>954.28</v>
      </c>
      <c r="Y38" s="7">
        <f t="shared" si="13"/>
        <v>954.28</v>
      </c>
      <c r="Z38" s="7">
        <f t="shared" si="13"/>
        <v>954.28</v>
      </c>
      <c r="AA38" s="7">
        <f t="shared" si="13"/>
        <v>954.28</v>
      </c>
      <c r="AB38" s="7">
        <f t="shared" si="13"/>
        <v>954.28</v>
      </c>
      <c r="AC38" s="7">
        <f t="shared" si="13"/>
        <v>954.28</v>
      </c>
      <c r="AD38" s="7">
        <f t="shared" si="13"/>
        <v>954.28</v>
      </c>
      <c r="AE38" s="7">
        <f t="shared" si="13"/>
        <v>954.28</v>
      </c>
      <c r="AF38" s="7">
        <f t="shared" si="13"/>
        <v>954.28</v>
      </c>
      <c r="AG38" s="7">
        <f>834.62+714.1-AG19</f>
        <v>954.28</v>
      </c>
      <c r="AH38" s="7">
        <f>1033.52+714.1-AH19</f>
        <v>926.19979274611399</v>
      </c>
      <c r="AI38" s="7">
        <f t="shared" ref="AI38:AR38" si="14">1033.52+714.1-AI19</f>
        <v>926.19979274611399</v>
      </c>
      <c r="AJ38" s="7">
        <f t="shared" si="14"/>
        <v>926.19979274611399</v>
      </c>
      <c r="AK38" s="7">
        <f t="shared" si="14"/>
        <v>926.19979274611399</v>
      </c>
      <c r="AL38" s="7">
        <f t="shared" si="14"/>
        <v>926.19979274611399</v>
      </c>
      <c r="AM38" s="7">
        <f t="shared" si="14"/>
        <v>926.19979274611399</v>
      </c>
      <c r="AN38" s="7">
        <f t="shared" si="14"/>
        <v>926.19979274611399</v>
      </c>
      <c r="AO38" s="7">
        <f t="shared" si="14"/>
        <v>926.19979274611399</v>
      </c>
      <c r="AP38" s="7">
        <f t="shared" si="14"/>
        <v>926.19979274611399</v>
      </c>
      <c r="AQ38" s="7">
        <f t="shared" si="14"/>
        <v>926.19979274611399</v>
      </c>
      <c r="AR38" s="7">
        <f t="shared" si="14"/>
        <v>926.19979274611399</v>
      </c>
    </row>
    <row r="39" spans="1:44">
      <c r="A39" s="13" t="s">
        <v>291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790</v>
      </c>
      <c r="P39" s="7">
        <v>790</v>
      </c>
      <c r="Q39" s="7">
        <v>790</v>
      </c>
      <c r="R39" s="7">
        <v>790</v>
      </c>
      <c r="S39" s="7">
        <v>790</v>
      </c>
      <c r="T39" s="7">
        <v>790</v>
      </c>
      <c r="U39" s="7">
        <v>790</v>
      </c>
      <c r="V39" s="7">
        <v>790</v>
      </c>
      <c r="W39" s="7">
        <v>790</v>
      </c>
      <c r="X39" s="7">
        <v>790</v>
      </c>
      <c r="Y39" s="7">
        <v>790</v>
      </c>
      <c r="Z39" s="7">
        <v>790</v>
      </c>
      <c r="AA39" s="7">
        <v>860</v>
      </c>
      <c r="AB39" s="7">
        <v>860</v>
      </c>
      <c r="AC39" s="7">
        <v>860</v>
      </c>
      <c r="AD39" s="7">
        <v>860</v>
      </c>
      <c r="AE39" s="7">
        <v>860</v>
      </c>
      <c r="AF39" s="7">
        <v>860</v>
      </c>
      <c r="AG39" s="7">
        <v>860</v>
      </c>
      <c r="AH39" s="7">
        <v>860</v>
      </c>
      <c r="AI39" s="7">
        <v>860</v>
      </c>
      <c r="AJ39" s="7">
        <v>860</v>
      </c>
      <c r="AK39" s="7">
        <v>860</v>
      </c>
      <c r="AL39" s="7">
        <v>860</v>
      </c>
      <c r="AM39" s="7">
        <v>950</v>
      </c>
      <c r="AN39" s="7">
        <v>950</v>
      </c>
      <c r="AO39" s="7">
        <v>950</v>
      </c>
      <c r="AP39" s="7">
        <v>950</v>
      </c>
      <c r="AQ39" s="7">
        <v>950</v>
      </c>
      <c r="AR39" s="7">
        <v>950</v>
      </c>
    </row>
    <row r="40" spans="1:44">
      <c r="A40" s="13" t="s">
        <v>290</v>
      </c>
      <c r="B40" s="7">
        <f t="shared" ref="B40:G40" si="15">B37*0.015</f>
        <v>75</v>
      </c>
      <c r="C40" s="7">
        <f t="shared" si="15"/>
        <v>75</v>
      </c>
      <c r="D40" s="7">
        <f t="shared" si="15"/>
        <v>75</v>
      </c>
      <c r="E40" s="7">
        <f t="shared" si="15"/>
        <v>75</v>
      </c>
      <c r="F40" s="7">
        <f t="shared" si="15"/>
        <v>75</v>
      </c>
      <c r="G40" s="7">
        <f t="shared" si="15"/>
        <v>75</v>
      </c>
      <c r="H40" s="7">
        <f>5000*0.015</f>
        <v>75</v>
      </c>
      <c r="I40" s="7">
        <f>I37*0.015</f>
        <v>110.39999999999999</v>
      </c>
      <c r="J40" s="7">
        <f t="shared" ref="J40:AR40" si="16">J37*0.015</f>
        <v>110.39999999999999</v>
      </c>
      <c r="K40" s="7">
        <f t="shared" si="16"/>
        <v>110.39999999999999</v>
      </c>
      <c r="L40" s="7">
        <f t="shared" si="16"/>
        <v>110.39999999999999</v>
      </c>
      <c r="M40" s="7">
        <f t="shared" si="16"/>
        <v>110.39999999999999</v>
      </c>
      <c r="N40" s="7">
        <f t="shared" si="16"/>
        <v>110.39999999999999</v>
      </c>
      <c r="O40" s="7">
        <f t="shared" si="16"/>
        <v>110.39999999999999</v>
      </c>
      <c r="P40" s="7">
        <f t="shared" si="16"/>
        <v>110.39999999999999</v>
      </c>
      <c r="Q40" s="7">
        <f t="shared" si="16"/>
        <v>110.39999999999999</v>
      </c>
      <c r="R40" s="7">
        <f t="shared" si="16"/>
        <v>110.39999999999999</v>
      </c>
      <c r="S40" s="7">
        <f t="shared" si="16"/>
        <v>110.39999999999999</v>
      </c>
      <c r="T40" s="7">
        <f t="shared" si="16"/>
        <v>110.39999999999999</v>
      </c>
      <c r="U40" s="7">
        <f t="shared" si="16"/>
        <v>105.89999999999999</v>
      </c>
      <c r="V40" s="7">
        <f t="shared" si="16"/>
        <v>105.89999999999999</v>
      </c>
      <c r="W40" s="7">
        <f t="shared" si="16"/>
        <v>105.89999999999999</v>
      </c>
      <c r="X40" s="7">
        <f t="shared" si="16"/>
        <v>105.89999999999999</v>
      </c>
      <c r="Y40" s="7">
        <f t="shared" si="16"/>
        <v>105.89999999999999</v>
      </c>
      <c r="Z40" s="7">
        <f t="shared" si="16"/>
        <v>105.89999999999999</v>
      </c>
      <c r="AA40" s="7">
        <f t="shared" si="16"/>
        <v>105.89999999999999</v>
      </c>
      <c r="AB40" s="7">
        <f t="shared" si="16"/>
        <v>105.89999999999999</v>
      </c>
      <c r="AC40" s="7">
        <f t="shared" si="16"/>
        <v>105.89999999999999</v>
      </c>
      <c r="AD40" s="7">
        <f t="shared" si="16"/>
        <v>105.89999999999999</v>
      </c>
      <c r="AE40" s="7">
        <f t="shared" si="16"/>
        <v>105.89999999999999</v>
      </c>
      <c r="AF40" s="7">
        <f t="shared" si="16"/>
        <v>105.89999999999999</v>
      </c>
      <c r="AG40" s="7">
        <f t="shared" si="16"/>
        <v>105.89999999999999</v>
      </c>
      <c r="AH40" s="7">
        <f t="shared" si="16"/>
        <v>107.39999999999999</v>
      </c>
      <c r="AI40" s="7">
        <f t="shared" si="16"/>
        <v>107.39999999999999</v>
      </c>
      <c r="AJ40" s="7">
        <f t="shared" si="16"/>
        <v>107.39999999999999</v>
      </c>
      <c r="AK40" s="7">
        <f t="shared" si="16"/>
        <v>107.39999999999999</v>
      </c>
      <c r="AL40" s="7">
        <f t="shared" si="16"/>
        <v>107.39999999999999</v>
      </c>
      <c r="AM40" s="7">
        <f t="shared" si="16"/>
        <v>107.39999999999999</v>
      </c>
      <c r="AN40" s="7">
        <f t="shared" si="16"/>
        <v>107.39999999999999</v>
      </c>
      <c r="AO40" s="7">
        <f t="shared" si="16"/>
        <v>107.39999999999999</v>
      </c>
      <c r="AP40" s="7">
        <f t="shared" si="16"/>
        <v>107.39999999999999</v>
      </c>
      <c r="AQ40" s="7">
        <f t="shared" si="16"/>
        <v>107.39999999999999</v>
      </c>
      <c r="AR40" s="7">
        <f t="shared" si="16"/>
        <v>107.39999999999999</v>
      </c>
    </row>
    <row r="41" spans="1:44">
      <c r="A41" s="15" t="s">
        <v>38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>
      <c r="A42" s="13" t="s">
        <v>39</v>
      </c>
      <c r="B42" s="7"/>
      <c r="C42" s="7"/>
      <c r="D42" s="7"/>
      <c r="E42" s="7"/>
      <c r="F42" s="7"/>
      <c r="G42" s="7"/>
      <c r="H42" s="7">
        <v>240</v>
      </c>
      <c r="I42" s="7"/>
      <c r="J42" s="7"/>
      <c r="K42" s="7"/>
      <c r="L42" s="7"/>
      <c r="M42" s="7">
        <v>500</v>
      </c>
      <c r="N42" s="7"/>
      <c r="O42" s="7"/>
      <c r="P42" s="7"/>
      <c r="Q42" s="7"/>
      <c r="R42" s="7">
        <v>500</v>
      </c>
      <c r="S42" s="7"/>
      <c r="T42" s="7">
        <v>240</v>
      </c>
      <c r="U42" s="7"/>
      <c r="V42" s="7"/>
      <c r="W42" s="7"/>
      <c r="X42" s="7"/>
      <c r="Y42" s="7">
        <v>500</v>
      </c>
      <c r="Z42" s="7"/>
      <c r="AA42" s="7"/>
      <c r="AB42" s="7"/>
      <c r="AC42" s="7"/>
      <c r="AD42" s="7">
        <v>500</v>
      </c>
      <c r="AE42" s="7"/>
      <c r="AF42" s="7">
        <v>240</v>
      </c>
      <c r="AG42" s="7"/>
      <c r="AH42" s="7"/>
      <c r="AI42" s="7"/>
      <c r="AJ42" s="7"/>
      <c r="AK42" s="7">
        <v>500</v>
      </c>
      <c r="AL42" s="7"/>
      <c r="AM42" s="7"/>
      <c r="AN42" s="7"/>
      <c r="AO42" s="7"/>
      <c r="AP42" s="7">
        <v>500</v>
      </c>
      <c r="AQ42" s="7"/>
      <c r="AR42" s="7">
        <v>240</v>
      </c>
    </row>
    <row r="43" spans="1:44">
      <c r="A43" s="13" t="s">
        <v>285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>
      <c r="A44" s="13" t="s">
        <v>141</v>
      </c>
      <c r="B44" s="7">
        <v>195</v>
      </c>
      <c r="C44" s="7"/>
      <c r="D44" s="7"/>
      <c r="E44" s="7"/>
      <c r="F44" s="7"/>
      <c r="G44" s="7"/>
      <c r="H44" s="7">
        <v>195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295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>
        <v>295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>
        <v>295</v>
      </c>
    </row>
    <row r="45" spans="1:44">
      <c r="A45" s="15" t="s">
        <v>142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>
      <c r="A46" s="13" t="s">
        <v>143</v>
      </c>
      <c r="B46" s="7">
        <v>1000</v>
      </c>
      <c r="C46" s="7"/>
      <c r="D46" s="7"/>
      <c r="E46" s="7"/>
      <c r="F46" s="7"/>
      <c r="G46" s="7"/>
      <c r="H46" s="7">
        <v>1000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v>1000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>
        <v>1000</v>
      </c>
      <c r="AG46" s="7"/>
      <c r="AH46" s="7"/>
      <c r="AI46" s="7"/>
      <c r="AJ46" s="7"/>
      <c r="AK46" s="7"/>
      <c r="AL46" s="7"/>
      <c r="AM46" s="7"/>
      <c r="AN46" s="7"/>
      <c r="AO46" s="7"/>
      <c r="AP46" s="7"/>
      <c r="AR46" s="7">
        <v>1000</v>
      </c>
    </row>
    <row r="47" spans="1:44">
      <c r="A47" s="13" t="s">
        <v>284</v>
      </c>
      <c r="B47" s="7">
        <v>250</v>
      </c>
      <c r="C47" s="7"/>
      <c r="D47" s="7"/>
      <c r="E47" s="7"/>
      <c r="F47" s="7"/>
      <c r="G47" s="7"/>
      <c r="H47" s="7">
        <v>250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250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ht="13.5" thickBot="1">
      <c r="A48" s="13" t="s">
        <v>144</v>
      </c>
      <c r="B48" s="7">
        <v>150</v>
      </c>
      <c r="C48" s="7"/>
      <c r="D48" s="7"/>
      <c r="E48" s="7"/>
      <c r="F48" s="7"/>
      <c r="G48" s="7"/>
      <c r="H48" s="7">
        <v>150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150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3.5" thickBot="1">
      <c r="A49" s="33" t="s">
        <v>193</v>
      </c>
      <c r="B49" s="34">
        <f t="shared" ref="B49:AR49" si="17">SUM(B26:B48)</f>
        <v>9064.09</v>
      </c>
      <c r="C49" s="30">
        <f t="shared" si="17"/>
        <v>7469.09</v>
      </c>
      <c r="D49" s="30">
        <f t="shared" si="17"/>
        <v>7469.09</v>
      </c>
      <c r="E49" s="30">
        <f t="shared" si="17"/>
        <v>7469.09</v>
      </c>
      <c r="F49" s="30">
        <f t="shared" si="17"/>
        <v>10719.09</v>
      </c>
      <c r="G49" s="30">
        <f t="shared" si="17"/>
        <v>11719.09</v>
      </c>
      <c r="H49" s="30">
        <f t="shared" si="17"/>
        <v>21185.51</v>
      </c>
      <c r="I49" s="30">
        <f t="shared" si="17"/>
        <v>16824.890000000003</v>
      </c>
      <c r="J49" s="30">
        <f t="shared" si="17"/>
        <v>16824.890000000003</v>
      </c>
      <c r="K49" s="30">
        <f t="shared" si="17"/>
        <v>16824.890000000003</v>
      </c>
      <c r="L49" s="30">
        <f t="shared" si="17"/>
        <v>18824.890000000003</v>
      </c>
      <c r="M49" s="30">
        <f t="shared" si="17"/>
        <v>17574.890000000003</v>
      </c>
      <c r="N49" s="30">
        <f t="shared" si="17"/>
        <v>17074.890000000003</v>
      </c>
      <c r="O49" s="30">
        <f t="shared" si="17"/>
        <v>17864.890000000003</v>
      </c>
      <c r="P49" s="30">
        <f t="shared" si="17"/>
        <v>17864.890000000003</v>
      </c>
      <c r="Q49" s="30">
        <f t="shared" si="17"/>
        <v>18114.890000000003</v>
      </c>
      <c r="R49" s="30">
        <f t="shared" si="17"/>
        <v>18614.890000000003</v>
      </c>
      <c r="S49" s="30">
        <f t="shared" si="17"/>
        <v>18114.890000000003</v>
      </c>
      <c r="T49" s="30">
        <f t="shared" si="17"/>
        <v>25049.890000000003</v>
      </c>
      <c r="U49" s="30">
        <f t="shared" si="17"/>
        <v>17260.18</v>
      </c>
      <c r="V49" s="30">
        <f t="shared" si="17"/>
        <v>17260.18</v>
      </c>
      <c r="W49" s="30">
        <f t="shared" si="17"/>
        <v>17260.18</v>
      </c>
      <c r="X49" s="30">
        <f t="shared" si="17"/>
        <v>17260.18</v>
      </c>
      <c r="Y49" s="30">
        <f t="shared" si="17"/>
        <v>17760.18</v>
      </c>
      <c r="Z49" s="30">
        <f t="shared" si="17"/>
        <v>17260.18</v>
      </c>
      <c r="AA49" s="30">
        <f t="shared" si="17"/>
        <v>17330.18</v>
      </c>
      <c r="AB49" s="30">
        <f t="shared" si="17"/>
        <v>17330.18</v>
      </c>
      <c r="AC49" s="30">
        <f t="shared" si="17"/>
        <v>17330.18</v>
      </c>
      <c r="AD49" s="30">
        <f t="shared" si="17"/>
        <v>17830.18</v>
      </c>
      <c r="AE49" s="30">
        <f t="shared" si="17"/>
        <v>17330.18</v>
      </c>
      <c r="AF49" s="30">
        <f t="shared" si="17"/>
        <v>18865.18</v>
      </c>
      <c r="AG49" s="30">
        <f t="shared" si="17"/>
        <v>17330.18</v>
      </c>
      <c r="AH49" s="30">
        <f t="shared" si="17"/>
        <v>17403.599792746114</v>
      </c>
      <c r="AI49" s="30">
        <f t="shared" si="17"/>
        <v>17403.599792746114</v>
      </c>
      <c r="AJ49" s="30">
        <f t="shared" si="17"/>
        <v>17403.599792746114</v>
      </c>
      <c r="AK49" s="30">
        <f t="shared" si="17"/>
        <v>17903.599792746114</v>
      </c>
      <c r="AL49" s="30">
        <f t="shared" si="17"/>
        <v>17703.599792746114</v>
      </c>
      <c r="AM49" s="30">
        <f t="shared" si="17"/>
        <v>17793.599792746114</v>
      </c>
      <c r="AN49" s="30">
        <f t="shared" si="17"/>
        <v>17793.599792746114</v>
      </c>
      <c r="AO49" s="30">
        <f t="shared" si="17"/>
        <v>17793.599792746114</v>
      </c>
      <c r="AP49" s="30">
        <f t="shared" si="17"/>
        <v>18293.599792746114</v>
      </c>
      <c r="AQ49" s="30">
        <f t="shared" si="17"/>
        <v>17793.599792746114</v>
      </c>
      <c r="AR49" s="30">
        <f t="shared" si="17"/>
        <v>19328.599792746114</v>
      </c>
    </row>
    <row r="50" spans="1:44">
      <c r="A50" s="32" t="s">
        <v>194</v>
      </c>
      <c r="B50" s="7">
        <f t="shared" ref="B50:AR50" si="18">B7-B23-B49</f>
        <v>-9064.09</v>
      </c>
      <c r="C50" s="7">
        <f t="shared" si="18"/>
        <v>-7469.09</v>
      </c>
      <c r="D50" s="7">
        <f t="shared" si="18"/>
        <v>-7469.09</v>
      </c>
      <c r="E50" s="7">
        <f t="shared" si="18"/>
        <v>-7469.09</v>
      </c>
      <c r="F50" s="7">
        <f t="shared" si="18"/>
        <v>-10719.09</v>
      </c>
      <c r="G50" s="7">
        <f t="shared" si="18"/>
        <v>-11719.09</v>
      </c>
      <c r="H50" s="7">
        <f t="shared" si="18"/>
        <v>-21185.51</v>
      </c>
      <c r="I50" s="7">
        <f t="shared" si="18"/>
        <v>-15489.909995733336</v>
      </c>
      <c r="J50" s="7">
        <f t="shared" si="18"/>
        <v>-9360.5399893333361</v>
      </c>
      <c r="K50" s="7">
        <f t="shared" si="18"/>
        <v>4106.1100106666599</v>
      </c>
      <c r="L50" s="7">
        <f t="shared" si="18"/>
        <v>-2660.3399893333353</v>
      </c>
      <c r="M50" s="7">
        <f t="shared" si="18"/>
        <v>5205.8100106666643</v>
      </c>
      <c r="N50" s="7">
        <f t="shared" si="18"/>
        <v>-6918.9899893333368</v>
      </c>
      <c r="O50" s="7">
        <f t="shared" si="18"/>
        <v>-6707.1399893333382</v>
      </c>
      <c r="P50" s="7">
        <f t="shared" si="18"/>
        <v>-5290.2399893333368</v>
      </c>
      <c r="Q50" s="7">
        <f t="shared" si="18"/>
        <v>-2717.8399893333371</v>
      </c>
      <c r="R50" s="7">
        <f t="shared" si="18"/>
        <v>-3343.7899893333379</v>
      </c>
      <c r="S50" s="7">
        <f t="shared" si="18"/>
        <v>338.5100106666614</v>
      </c>
      <c r="T50" s="7">
        <f t="shared" si="18"/>
        <v>-4031.8399893333371</v>
      </c>
      <c r="U50" s="7">
        <f t="shared" si="18"/>
        <v>2065.530017777779</v>
      </c>
      <c r="V50" s="7">
        <f t="shared" si="18"/>
        <v>-2795.1449804444455</v>
      </c>
      <c r="W50" s="7">
        <f t="shared" si="18"/>
        <v>15407.555019555555</v>
      </c>
      <c r="X50" s="7">
        <f t="shared" si="18"/>
        <v>16925.830021333335</v>
      </c>
      <c r="Y50" s="7">
        <f t="shared" si="18"/>
        <v>23004.155019555554</v>
      </c>
      <c r="Z50" s="7">
        <f t="shared" si="18"/>
        <v>1308.555023111112</v>
      </c>
      <c r="AA50" s="7">
        <f t="shared" si="18"/>
        <v>16432.280024888889</v>
      </c>
      <c r="AB50" s="7">
        <f t="shared" si="18"/>
        <v>14637.73002488889</v>
      </c>
      <c r="AC50" s="7">
        <f t="shared" si="18"/>
        <v>19401.455023111113</v>
      </c>
      <c r="AD50" s="7">
        <f t="shared" si="18"/>
        <v>-8692.1449804444455</v>
      </c>
      <c r="AE50" s="7">
        <f t="shared" si="18"/>
        <v>8690.9550195555566</v>
      </c>
      <c r="AF50" s="7">
        <f t="shared" si="18"/>
        <v>-815.74498044444408</v>
      </c>
      <c r="AG50" s="7">
        <f t="shared" si="18"/>
        <v>12790.680021333334</v>
      </c>
      <c r="AH50" s="7">
        <f t="shared" si="18"/>
        <v>39305.605023111115</v>
      </c>
      <c r="AI50" s="7">
        <f t="shared" si="18"/>
        <v>23202.080024888885</v>
      </c>
      <c r="AJ50" s="7">
        <f t="shared" si="18"/>
        <v>24414.780024888889</v>
      </c>
      <c r="AK50" s="7">
        <f t="shared" si="18"/>
        <v>40708.105026666672</v>
      </c>
      <c r="AL50" s="7">
        <f t="shared" si="18"/>
        <v>24982.255030222223</v>
      </c>
      <c r="AM50" s="7">
        <f t="shared" si="18"/>
        <v>28326.355030222221</v>
      </c>
      <c r="AN50" s="7">
        <f t="shared" si="18"/>
        <v>21625.530028444446</v>
      </c>
      <c r="AO50" s="7">
        <f t="shared" si="18"/>
        <v>34691.155026666667</v>
      </c>
      <c r="AP50" s="7">
        <f t="shared" si="18"/>
        <v>17916.855026666664</v>
      </c>
      <c r="AQ50" s="7">
        <f t="shared" si="18"/>
        <v>14129.030024888889</v>
      </c>
      <c r="AR50" s="7">
        <f t="shared" si="18"/>
        <v>8008.5250195555564</v>
      </c>
    </row>
    <row r="51" spans="1:44">
      <c r="A51" s="6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>
      <c r="A52" s="16" t="s">
        <v>195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>
      <c r="A53" s="16" t="s">
        <v>119</v>
      </c>
    </row>
    <row r="54" spans="1:44">
      <c r="A54" s="16" t="s">
        <v>196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>
      <c r="A55" s="32" t="s">
        <v>197</v>
      </c>
      <c r="B55" s="7">
        <f t="shared" ref="B55:AR55" si="19">B50-SUM(B51:B54)</f>
        <v>-9064.09</v>
      </c>
      <c r="C55" s="7">
        <f t="shared" si="19"/>
        <v>-7469.09</v>
      </c>
      <c r="D55" s="7">
        <f t="shared" si="19"/>
        <v>-7469.09</v>
      </c>
      <c r="E55" s="7">
        <f t="shared" si="19"/>
        <v>-7469.09</v>
      </c>
      <c r="F55" s="7">
        <f t="shared" si="19"/>
        <v>-10719.09</v>
      </c>
      <c r="G55" s="7">
        <f t="shared" si="19"/>
        <v>-11719.09</v>
      </c>
      <c r="H55" s="7">
        <f t="shared" si="19"/>
        <v>-21185.51</v>
      </c>
      <c r="I55" s="7">
        <f t="shared" si="19"/>
        <v>-15489.909995733336</v>
      </c>
      <c r="J55" s="7">
        <f t="shared" si="19"/>
        <v>-9360.5399893333361</v>
      </c>
      <c r="K55" s="7">
        <f t="shared" si="19"/>
        <v>4106.1100106666599</v>
      </c>
      <c r="L55" s="7">
        <f t="shared" si="19"/>
        <v>-2660.3399893333353</v>
      </c>
      <c r="M55" s="7">
        <f t="shared" si="19"/>
        <v>5205.8100106666643</v>
      </c>
      <c r="N55" s="7">
        <f t="shared" si="19"/>
        <v>-6918.9899893333368</v>
      </c>
      <c r="O55" s="7">
        <f t="shared" si="19"/>
        <v>-6707.1399893333382</v>
      </c>
      <c r="P55" s="7">
        <f t="shared" si="19"/>
        <v>-5290.2399893333368</v>
      </c>
      <c r="Q55" s="7">
        <f t="shared" si="19"/>
        <v>-2717.8399893333371</v>
      </c>
      <c r="R55" s="7">
        <f t="shared" si="19"/>
        <v>-3343.7899893333379</v>
      </c>
      <c r="S55" s="7">
        <f t="shared" si="19"/>
        <v>338.5100106666614</v>
      </c>
      <c r="T55" s="7">
        <f t="shared" si="19"/>
        <v>-4031.8399893333371</v>
      </c>
      <c r="U55" s="7">
        <f t="shared" si="19"/>
        <v>2065.530017777779</v>
      </c>
      <c r="V55" s="7">
        <f t="shared" si="19"/>
        <v>-2795.1449804444455</v>
      </c>
      <c r="W55" s="7">
        <f t="shared" si="19"/>
        <v>15407.555019555555</v>
      </c>
      <c r="X55" s="7">
        <f t="shared" si="19"/>
        <v>16925.830021333335</v>
      </c>
      <c r="Y55" s="7">
        <f t="shared" si="19"/>
        <v>23004.155019555554</v>
      </c>
      <c r="Z55" s="7">
        <f t="shared" si="19"/>
        <v>1308.555023111112</v>
      </c>
      <c r="AA55" s="7">
        <f t="shared" si="19"/>
        <v>16432.280024888889</v>
      </c>
      <c r="AB55" s="7">
        <f t="shared" si="19"/>
        <v>14637.73002488889</v>
      </c>
      <c r="AC55" s="7">
        <f t="shared" si="19"/>
        <v>19401.455023111113</v>
      </c>
      <c r="AD55" s="7">
        <f t="shared" si="19"/>
        <v>-8692.1449804444455</v>
      </c>
      <c r="AE55" s="7">
        <f t="shared" si="19"/>
        <v>8690.9550195555566</v>
      </c>
      <c r="AF55" s="7">
        <f t="shared" si="19"/>
        <v>-815.74498044444408</v>
      </c>
      <c r="AG55" s="7">
        <f t="shared" si="19"/>
        <v>12790.680021333334</v>
      </c>
      <c r="AH55" s="7">
        <f t="shared" si="19"/>
        <v>39305.605023111115</v>
      </c>
      <c r="AI55" s="7">
        <f t="shared" si="19"/>
        <v>23202.080024888885</v>
      </c>
      <c r="AJ55" s="7">
        <f t="shared" si="19"/>
        <v>24414.780024888889</v>
      </c>
      <c r="AK55" s="7">
        <f t="shared" si="19"/>
        <v>40708.105026666672</v>
      </c>
      <c r="AL55" s="7">
        <f t="shared" si="19"/>
        <v>24982.255030222223</v>
      </c>
      <c r="AM55" s="7">
        <f t="shared" si="19"/>
        <v>28326.355030222221</v>
      </c>
      <c r="AN55" s="7">
        <f t="shared" si="19"/>
        <v>21625.530028444446</v>
      </c>
      <c r="AO55" s="7">
        <f t="shared" si="19"/>
        <v>34691.155026666667</v>
      </c>
      <c r="AP55" s="7">
        <f t="shared" si="19"/>
        <v>17916.855026666664</v>
      </c>
      <c r="AQ55" s="7">
        <f t="shared" si="19"/>
        <v>14129.030024888889</v>
      </c>
      <c r="AR55" s="7">
        <f t="shared" si="19"/>
        <v>8008.5250195555564</v>
      </c>
    </row>
    <row r="56" spans="1:44">
      <c r="A56" s="1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>
      <c r="A57" s="1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>
      <c r="A58" s="1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</sheetData>
  <phoneticPr fontId="2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zoomScale="85" workbookViewId="0">
      <selection activeCell="C36" sqref="C36"/>
    </sheetView>
  </sheetViews>
  <sheetFormatPr defaultColWidth="8.85546875" defaultRowHeight="12.75"/>
  <cols>
    <col min="1" max="1" width="20" customWidth="1"/>
    <col min="2" max="2" width="10.140625" bestFit="1" customWidth="1"/>
    <col min="3" max="3" width="10" bestFit="1" customWidth="1"/>
    <col min="4" max="4" width="12.5703125" bestFit="1" customWidth="1"/>
    <col min="5" max="5" width="42.7109375" customWidth="1"/>
    <col min="6" max="7" width="8.85546875" style="1"/>
    <col min="8" max="8" width="11.28515625" bestFit="1" customWidth="1"/>
    <col min="9" max="9" width="8.42578125" style="2" customWidth="1"/>
    <col min="10" max="12" width="15.5703125" style="45" bestFit="1" customWidth="1"/>
  </cols>
  <sheetData>
    <row r="1" spans="1:15" ht="13.5" thickBot="1"/>
    <row r="2" spans="1:15" ht="30.75" customHeight="1" thickBot="1">
      <c r="A2" s="108" t="s">
        <v>19</v>
      </c>
      <c r="B2" s="109"/>
      <c r="C2" s="109"/>
      <c r="D2" s="109"/>
      <c r="E2" s="110"/>
    </row>
    <row r="3" spans="1:15">
      <c r="C3" t="s">
        <v>78</v>
      </c>
      <c r="F3" s="1" t="s">
        <v>44</v>
      </c>
      <c r="G3" s="1" t="s">
        <v>45</v>
      </c>
      <c r="H3" t="s">
        <v>41</v>
      </c>
      <c r="I3" s="2" t="s">
        <v>198</v>
      </c>
      <c r="J3" s="45" t="s">
        <v>199</v>
      </c>
      <c r="K3" s="45" t="s">
        <v>201</v>
      </c>
      <c r="L3" s="45" t="s">
        <v>200</v>
      </c>
      <c r="N3" s="35" t="s">
        <v>154</v>
      </c>
      <c r="O3" s="36"/>
    </row>
    <row r="4" spans="1:15">
      <c r="A4" s="22" t="s">
        <v>140</v>
      </c>
      <c r="B4" s="5"/>
      <c r="C4" s="5"/>
      <c r="D4" s="5"/>
      <c r="E4" s="5"/>
      <c r="F4" s="94"/>
      <c r="G4" s="94"/>
      <c r="N4" s="37" t="s">
        <v>155</v>
      </c>
      <c r="O4" s="38"/>
    </row>
    <row r="5" spans="1:15">
      <c r="A5" t="s">
        <v>97</v>
      </c>
      <c r="B5" s="17">
        <v>1000</v>
      </c>
      <c r="C5" s="17"/>
      <c r="F5" s="21">
        <f>B5</f>
        <v>1000</v>
      </c>
      <c r="G5" s="21"/>
      <c r="N5" s="37" t="s">
        <v>156</v>
      </c>
      <c r="O5" s="39">
        <v>0.33329999999999999</v>
      </c>
    </row>
    <row r="6" spans="1:15">
      <c r="A6" t="s">
        <v>130</v>
      </c>
      <c r="B6" s="17">
        <v>15000</v>
      </c>
      <c r="C6" s="17">
        <v>15000</v>
      </c>
      <c r="F6" s="21"/>
      <c r="G6" s="21">
        <f>C6</f>
        <v>15000</v>
      </c>
      <c r="H6" s="21" t="s">
        <v>42</v>
      </c>
      <c r="I6" s="2">
        <v>7</v>
      </c>
      <c r="J6" s="45">
        <f>G6*$O$15</f>
        <v>2143.5</v>
      </c>
      <c r="K6" s="45">
        <f>G6*$O$16</f>
        <v>3673.5</v>
      </c>
      <c r="L6" s="45">
        <f>G6*$O$17</f>
        <v>2623.5</v>
      </c>
      <c r="N6" s="37" t="s">
        <v>43</v>
      </c>
      <c r="O6" s="39">
        <v>0.44450000000000001</v>
      </c>
    </row>
    <row r="7" spans="1:15">
      <c r="A7" t="s">
        <v>98</v>
      </c>
      <c r="B7" s="17">
        <v>20000</v>
      </c>
      <c r="C7" s="17">
        <f>B7</f>
        <v>20000</v>
      </c>
      <c r="F7" s="21"/>
      <c r="G7" s="21">
        <f>C7</f>
        <v>20000</v>
      </c>
      <c r="H7" s="21" t="s">
        <v>42</v>
      </c>
      <c r="I7" s="2">
        <v>7</v>
      </c>
      <c r="J7" s="45">
        <f>G7*$O$15</f>
        <v>2858</v>
      </c>
      <c r="K7" s="45">
        <f>G7*$O$16</f>
        <v>4898</v>
      </c>
      <c r="L7" s="45">
        <f>G7*$O$17</f>
        <v>3498</v>
      </c>
      <c r="N7" s="37" t="s">
        <v>157</v>
      </c>
      <c r="O7" s="39">
        <v>0.14810000000000001</v>
      </c>
    </row>
    <row r="8" spans="1:15">
      <c r="A8" t="s">
        <v>243</v>
      </c>
      <c r="B8" s="17">
        <v>3000</v>
      </c>
      <c r="C8" s="17">
        <f>B8</f>
        <v>3000</v>
      </c>
      <c r="F8" s="21"/>
      <c r="G8" s="21"/>
      <c r="N8" s="37"/>
      <c r="O8" s="38"/>
    </row>
    <row r="9" spans="1:15">
      <c r="A9" t="s">
        <v>99</v>
      </c>
      <c r="B9" s="17">
        <v>3000</v>
      </c>
      <c r="C9" s="17">
        <v>3000</v>
      </c>
      <c r="F9" s="21"/>
      <c r="G9" s="21">
        <f>C9</f>
        <v>3000</v>
      </c>
      <c r="H9" s="21" t="s">
        <v>42</v>
      </c>
      <c r="I9" s="2">
        <v>15</v>
      </c>
      <c r="J9" s="45">
        <f>G9*$O$20</f>
        <v>150</v>
      </c>
      <c r="K9" s="45">
        <f>G9*$O$21</f>
        <v>285</v>
      </c>
      <c r="L9" s="45">
        <f>G9*$O$22</f>
        <v>256.5</v>
      </c>
      <c r="N9" s="37" t="s">
        <v>158</v>
      </c>
      <c r="O9" s="38"/>
    </row>
    <row r="10" spans="1:15">
      <c r="A10" t="s">
        <v>253</v>
      </c>
      <c r="B10" s="17">
        <v>60</v>
      </c>
      <c r="C10" s="17"/>
      <c r="F10" s="21"/>
      <c r="G10" s="21">
        <v>10000</v>
      </c>
      <c r="H10" s="21" t="s">
        <v>42</v>
      </c>
      <c r="I10" s="2">
        <v>15</v>
      </c>
      <c r="J10" s="45">
        <f>G10*$O$20</f>
        <v>500</v>
      </c>
      <c r="K10" s="45">
        <f>G10*$O$21</f>
        <v>950</v>
      </c>
      <c r="L10" s="45">
        <f>G10*$O$22</f>
        <v>855.00000000000011</v>
      </c>
      <c r="N10" s="37" t="s">
        <v>159</v>
      </c>
      <c r="O10" s="40">
        <v>0.2</v>
      </c>
    </row>
    <row r="11" spans="1:15">
      <c r="A11" t="s">
        <v>100</v>
      </c>
      <c r="B11" s="17">
        <v>3300</v>
      </c>
      <c r="C11" s="17">
        <f t="shared" ref="C11:C21" si="0">B11</f>
        <v>3300</v>
      </c>
      <c r="F11" s="21"/>
      <c r="G11" s="21">
        <f>C11</f>
        <v>3300</v>
      </c>
      <c r="H11" s="21" t="s">
        <v>42</v>
      </c>
      <c r="I11" s="2">
        <v>15</v>
      </c>
      <c r="J11" s="45">
        <f>G11*$O$20</f>
        <v>165</v>
      </c>
      <c r="K11" s="45">
        <f>G11*$O$21</f>
        <v>313.5</v>
      </c>
      <c r="L11" s="45">
        <f>G11*$O$22</f>
        <v>282.15000000000003</v>
      </c>
      <c r="N11" s="37" t="s">
        <v>43</v>
      </c>
      <c r="O11" s="40">
        <v>0.32</v>
      </c>
    </row>
    <row r="12" spans="1:15">
      <c r="A12" t="s">
        <v>101</v>
      </c>
      <c r="B12" s="17">
        <v>2000</v>
      </c>
      <c r="C12" s="17">
        <f t="shared" si="0"/>
        <v>2000</v>
      </c>
      <c r="F12" s="21"/>
      <c r="G12" s="21">
        <f>C12</f>
        <v>2000</v>
      </c>
      <c r="H12" s="21" t="s">
        <v>42</v>
      </c>
      <c r="I12" s="2">
        <v>15</v>
      </c>
      <c r="J12" s="45">
        <f>G12*$O$20</f>
        <v>100</v>
      </c>
      <c r="K12" s="45">
        <f>G12*$O$21</f>
        <v>190</v>
      </c>
      <c r="L12" s="45">
        <f>G12*$O$22</f>
        <v>171</v>
      </c>
      <c r="N12" s="37" t="s">
        <v>157</v>
      </c>
      <c r="O12" s="39">
        <v>0.192</v>
      </c>
    </row>
    <row r="13" spans="1:15">
      <c r="A13" t="s">
        <v>102</v>
      </c>
      <c r="B13" s="17">
        <v>2000</v>
      </c>
      <c r="C13" s="17">
        <f t="shared" si="0"/>
        <v>2000</v>
      </c>
      <c r="F13" s="21"/>
      <c r="G13" s="21">
        <f>C13</f>
        <v>2000</v>
      </c>
      <c r="H13" s="21" t="s">
        <v>42</v>
      </c>
      <c r="I13" s="2">
        <v>15</v>
      </c>
      <c r="J13" s="45">
        <f>G13*$O$20</f>
        <v>100</v>
      </c>
      <c r="K13" s="45">
        <f>G13*O21</f>
        <v>190</v>
      </c>
      <c r="L13" s="45">
        <f>G13*$O$22</f>
        <v>171</v>
      </c>
      <c r="N13" s="37"/>
      <c r="O13" s="38"/>
    </row>
    <row r="14" spans="1:15">
      <c r="A14" t="s">
        <v>103</v>
      </c>
      <c r="B14" s="17">
        <v>1000</v>
      </c>
      <c r="C14" s="17">
        <f t="shared" si="0"/>
        <v>1000</v>
      </c>
      <c r="F14" s="21">
        <v>1000</v>
      </c>
      <c r="G14" s="21"/>
      <c r="N14" s="37" t="s">
        <v>160</v>
      </c>
      <c r="O14" s="38"/>
    </row>
    <row r="15" spans="1:15">
      <c r="A15" t="s">
        <v>104</v>
      </c>
      <c r="B15" s="17">
        <v>5000</v>
      </c>
      <c r="C15" s="17">
        <f t="shared" si="0"/>
        <v>5000</v>
      </c>
      <c r="F15" s="21"/>
      <c r="G15" s="21">
        <f>C15</f>
        <v>5000</v>
      </c>
      <c r="H15" s="21" t="s">
        <v>42</v>
      </c>
      <c r="I15" s="2">
        <v>5</v>
      </c>
      <c r="J15" s="45">
        <f>G15*$O$10</f>
        <v>1000</v>
      </c>
      <c r="K15" s="45">
        <f>G15*$O$11</f>
        <v>1600</v>
      </c>
      <c r="L15" s="45">
        <f>G15*$O$12</f>
        <v>960</v>
      </c>
      <c r="N15" s="37" t="s">
        <v>42</v>
      </c>
      <c r="O15" s="39">
        <v>0.1429</v>
      </c>
    </row>
    <row r="16" spans="1:15">
      <c r="A16" t="s">
        <v>254</v>
      </c>
      <c r="B16" s="17">
        <v>250</v>
      </c>
      <c r="C16" s="17">
        <f t="shared" si="0"/>
        <v>250</v>
      </c>
      <c r="F16" s="21"/>
      <c r="G16" s="21">
        <f>C16</f>
        <v>250</v>
      </c>
      <c r="H16" s="21" t="s">
        <v>42</v>
      </c>
      <c r="I16" s="2">
        <v>7</v>
      </c>
      <c r="J16" s="45">
        <f>G16*$O$15</f>
        <v>35.725000000000001</v>
      </c>
      <c r="K16" s="45">
        <f>G16*$O$16</f>
        <v>61.225000000000001</v>
      </c>
      <c r="L16" s="45">
        <f>G16*$O$17</f>
        <v>43.725000000000001</v>
      </c>
      <c r="N16" s="37" t="s">
        <v>161</v>
      </c>
      <c r="O16" s="39">
        <v>0.24490000000000001</v>
      </c>
    </row>
    <row r="17" spans="1:15">
      <c r="A17" t="s">
        <v>0</v>
      </c>
      <c r="B17" s="17">
        <v>230</v>
      </c>
      <c r="C17" s="17">
        <f t="shared" si="0"/>
        <v>230</v>
      </c>
      <c r="F17" s="21">
        <f t="shared" ref="F17:F22" si="1">B17</f>
        <v>230</v>
      </c>
      <c r="G17" s="21"/>
      <c r="N17" s="37" t="s">
        <v>162</v>
      </c>
      <c r="O17" s="39">
        <v>0.1749</v>
      </c>
    </row>
    <row r="18" spans="1:15">
      <c r="A18" t="s">
        <v>1</v>
      </c>
      <c r="B18" s="17">
        <v>200</v>
      </c>
      <c r="C18" s="17">
        <f t="shared" si="0"/>
        <v>200</v>
      </c>
      <c r="F18" s="21">
        <f t="shared" si="1"/>
        <v>200</v>
      </c>
      <c r="G18" s="21"/>
      <c r="N18" s="37"/>
      <c r="O18" s="38"/>
    </row>
    <row r="19" spans="1:15">
      <c r="A19" t="s">
        <v>2</v>
      </c>
      <c r="B19" s="17">
        <v>150</v>
      </c>
      <c r="C19" s="17">
        <f t="shared" si="0"/>
        <v>150</v>
      </c>
      <c r="F19" s="21">
        <f t="shared" si="1"/>
        <v>150</v>
      </c>
      <c r="G19" s="21"/>
      <c r="N19" s="37" t="s">
        <v>163</v>
      </c>
      <c r="O19" s="38"/>
    </row>
    <row r="20" spans="1:15">
      <c r="A20" t="s">
        <v>3</v>
      </c>
      <c r="B20" s="17">
        <v>300</v>
      </c>
      <c r="C20" s="17">
        <f t="shared" si="0"/>
        <v>300</v>
      </c>
      <c r="F20" s="21">
        <f t="shared" si="1"/>
        <v>300</v>
      </c>
      <c r="G20" s="21"/>
      <c r="N20" s="37" t="s">
        <v>42</v>
      </c>
      <c r="O20" s="40">
        <v>0.05</v>
      </c>
    </row>
    <row r="21" spans="1:15">
      <c r="A21" t="s">
        <v>255</v>
      </c>
      <c r="B21" s="17">
        <v>9000</v>
      </c>
      <c r="C21" s="17">
        <f t="shared" si="0"/>
        <v>9000</v>
      </c>
      <c r="F21" s="21">
        <f t="shared" si="1"/>
        <v>9000</v>
      </c>
      <c r="G21" s="21"/>
      <c r="N21" s="37" t="s">
        <v>164</v>
      </c>
      <c r="O21" s="39">
        <v>9.5000000000000001E-2</v>
      </c>
    </row>
    <row r="22" spans="1:15" ht="13.5" thickBot="1">
      <c r="A22" t="s">
        <v>4</v>
      </c>
      <c r="B22" s="17">
        <v>3000</v>
      </c>
      <c r="C22" s="17">
        <f>B22</f>
        <v>3000</v>
      </c>
      <c r="F22" s="21">
        <f t="shared" si="1"/>
        <v>3000</v>
      </c>
      <c r="G22" s="21"/>
      <c r="N22" s="41" t="s">
        <v>165</v>
      </c>
      <c r="O22" s="42">
        <v>8.5500000000000007E-2</v>
      </c>
    </row>
    <row r="23" spans="1:15">
      <c r="A23" t="s">
        <v>73</v>
      </c>
      <c r="B23" s="17" t="s">
        <v>127</v>
      </c>
      <c r="C23" s="17" t="s">
        <v>126</v>
      </c>
      <c r="D23" t="s">
        <v>72</v>
      </c>
      <c r="F23" s="21"/>
      <c r="G23" s="21"/>
    </row>
    <row r="24" spans="1:15">
      <c r="A24" t="s">
        <v>128</v>
      </c>
      <c r="B24" s="17"/>
      <c r="C24" s="20">
        <v>2</v>
      </c>
      <c r="D24" s="17">
        <f t="shared" ref="D24:D29" si="2">B24*C24</f>
        <v>0</v>
      </c>
      <c r="F24" s="21"/>
      <c r="G24" s="21"/>
    </row>
    <row r="25" spans="1:15">
      <c r="A25" t="s">
        <v>123</v>
      </c>
      <c r="B25" s="17"/>
      <c r="C25" s="20"/>
      <c r="D25" s="17">
        <f t="shared" si="2"/>
        <v>0</v>
      </c>
      <c r="F25" s="21"/>
      <c r="G25" s="21"/>
    </row>
    <row r="26" spans="1:15">
      <c r="A26" t="s">
        <v>122</v>
      </c>
      <c r="B26" s="17"/>
      <c r="C26" s="20"/>
      <c r="D26" s="17">
        <f t="shared" si="2"/>
        <v>0</v>
      </c>
      <c r="F26" s="21"/>
      <c r="G26" s="21"/>
    </row>
    <row r="27" spans="1:15">
      <c r="A27" t="s">
        <v>129</v>
      </c>
      <c r="B27" s="17"/>
      <c r="C27" s="20"/>
      <c r="D27" s="17">
        <f t="shared" si="2"/>
        <v>0</v>
      </c>
      <c r="F27" s="21"/>
      <c r="G27" s="21"/>
    </row>
    <row r="28" spans="1:15">
      <c r="A28" t="s">
        <v>124</v>
      </c>
      <c r="B28" s="17"/>
      <c r="C28" s="20">
        <v>2</v>
      </c>
      <c r="D28" s="17">
        <f t="shared" si="2"/>
        <v>0</v>
      </c>
      <c r="F28" s="21"/>
      <c r="G28" s="21"/>
    </row>
    <row r="29" spans="1:15">
      <c r="A29" t="s">
        <v>125</v>
      </c>
      <c r="B29" s="17">
        <v>160700</v>
      </c>
      <c r="C29" s="20"/>
      <c r="D29" s="17">
        <f t="shared" si="2"/>
        <v>0</v>
      </c>
      <c r="F29" s="21"/>
      <c r="G29" s="21"/>
    </row>
    <row r="30" spans="1:15">
      <c r="A30" s="86" t="s">
        <v>244</v>
      </c>
      <c r="B30" s="87"/>
      <c r="C30" s="87"/>
      <c r="F30" s="21"/>
      <c r="G30" s="21"/>
    </row>
    <row r="31" spans="1:15" ht="15">
      <c r="A31" s="88"/>
      <c r="B31" s="88" t="s">
        <v>293</v>
      </c>
      <c r="C31" s="89" t="s">
        <v>294</v>
      </c>
      <c r="D31" s="88" t="s">
        <v>295</v>
      </c>
      <c r="F31" s="21"/>
      <c r="G31" s="21"/>
    </row>
    <row r="32" spans="1:15">
      <c r="A32" t="s">
        <v>245</v>
      </c>
      <c r="B32" s="91">
        <v>7500</v>
      </c>
      <c r="C32" s="91">
        <v>15500</v>
      </c>
      <c r="D32" s="91"/>
      <c r="F32" s="21"/>
      <c r="G32" s="21"/>
    </row>
    <row r="33" spans="1:12">
      <c r="A33" t="s">
        <v>246</v>
      </c>
      <c r="B33" s="91">
        <v>14000</v>
      </c>
      <c r="C33" s="91">
        <v>11500</v>
      </c>
      <c r="D33" s="91"/>
      <c r="F33" s="21"/>
      <c r="G33" s="21"/>
    </row>
    <row r="34" spans="1:12">
      <c r="A34" t="s">
        <v>247</v>
      </c>
      <c r="B34" s="91"/>
      <c r="C34" s="91">
        <v>22800</v>
      </c>
      <c r="D34" s="91">
        <v>9700</v>
      </c>
      <c r="F34" s="21"/>
      <c r="G34" s="21"/>
    </row>
    <row r="35" spans="1:12">
      <c r="A35" t="s">
        <v>248</v>
      </c>
      <c r="B35" s="91"/>
      <c r="C35" s="91">
        <v>23000</v>
      </c>
      <c r="D35" s="91">
        <v>12600</v>
      </c>
      <c r="F35" s="21"/>
      <c r="G35" s="21"/>
    </row>
    <row r="36" spans="1:12">
      <c r="A36" t="s">
        <v>249</v>
      </c>
      <c r="B36" s="91"/>
      <c r="C36" s="91">
        <v>93200</v>
      </c>
      <c r="D36" s="91"/>
      <c r="F36" s="21"/>
      <c r="G36" s="21"/>
    </row>
    <row r="37" spans="1:12">
      <c r="A37" t="s">
        <v>250</v>
      </c>
      <c r="B37" s="91"/>
      <c r="C37" s="91">
        <v>22900</v>
      </c>
      <c r="D37" s="91"/>
      <c r="F37" s="21"/>
      <c r="G37" s="21"/>
    </row>
    <row r="38" spans="1:12">
      <c r="A38" t="s">
        <v>251</v>
      </c>
      <c r="B38" s="91"/>
      <c r="C38" s="91" t="s">
        <v>252</v>
      </c>
      <c r="D38" s="92"/>
      <c r="F38" s="21"/>
      <c r="G38" s="21"/>
    </row>
    <row r="39" spans="1:12">
      <c r="A39" s="90"/>
      <c r="B39" s="91"/>
      <c r="C39" s="91">
        <f>C36+C37</f>
        <v>116100</v>
      </c>
      <c r="D39" s="92"/>
      <c r="F39" s="21"/>
      <c r="G39" s="21"/>
    </row>
    <row r="40" spans="1:12">
      <c r="A40" s="90"/>
      <c r="B40" s="91"/>
      <c r="C40" s="93">
        <f>(D34*2)+(D35*2)</f>
        <v>44600</v>
      </c>
      <c r="D40" s="92"/>
      <c r="F40" s="21"/>
      <c r="G40" s="21"/>
    </row>
    <row r="41" spans="1:12">
      <c r="A41" s="90"/>
      <c r="B41" s="91"/>
      <c r="C41" s="91">
        <f>SUM(C39:C40)</f>
        <v>160700</v>
      </c>
      <c r="D41" s="92"/>
      <c r="F41" s="21"/>
      <c r="G41" s="21"/>
    </row>
    <row r="42" spans="1:12">
      <c r="B42" s="17"/>
      <c r="C42" s="17"/>
      <c r="D42" s="17">
        <f>SUM(D24:D29)</f>
        <v>0</v>
      </c>
      <c r="F42" s="21"/>
      <c r="G42" s="21">
        <f>D42</f>
        <v>0</v>
      </c>
      <c r="H42" s="21" t="s">
        <v>43</v>
      </c>
      <c r="I42" s="2">
        <v>7</v>
      </c>
      <c r="J42" s="45">
        <v>0</v>
      </c>
      <c r="K42" s="45">
        <f>G42*$O$15</f>
        <v>0</v>
      </c>
      <c r="L42" s="45">
        <f>G42*$O$16</f>
        <v>0</v>
      </c>
    </row>
    <row r="43" spans="1:12">
      <c r="A43" t="s">
        <v>92</v>
      </c>
      <c r="B43" s="17">
        <v>200</v>
      </c>
      <c r="C43" s="17">
        <f>B43</f>
        <v>200</v>
      </c>
      <c r="F43" s="21">
        <f>B43</f>
        <v>200</v>
      </c>
      <c r="G43" s="21"/>
      <c r="H43" s="21"/>
    </row>
    <row r="44" spans="1:12">
      <c r="A44" t="s">
        <v>93</v>
      </c>
      <c r="B44" s="17">
        <v>16000</v>
      </c>
      <c r="C44" s="17">
        <f>B44</f>
        <v>16000</v>
      </c>
      <c r="F44" s="21"/>
      <c r="G44" s="21">
        <f>C44</f>
        <v>16000</v>
      </c>
      <c r="H44" s="21" t="s">
        <v>42</v>
      </c>
      <c r="I44" s="2">
        <v>7</v>
      </c>
      <c r="J44" s="45">
        <f>G44*$O$15</f>
        <v>2286.4</v>
      </c>
      <c r="K44" s="45">
        <f>G44*$O$16</f>
        <v>3918.4</v>
      </c>
      <c r="L44" s="45">
        <f>G44*$O$17</f>
        <v>2798.4</v>
      </c>
    </row>
    <row r="45" spans="1:12">
      <c r="A45" t="s">
        <v>94</v>
      </c>
      <c r="B45" s="17">
        <v>1000</v>
      </c>
      <c r="C45" s="17">
        <f>B45</f>
        <v>1000</v>
      </c>
      <c r="F45" s="21"/>
      <c r="G45" s="21">
        <f>C45</f>
        <v>1000</v>
      </c>
      <c r="H45" s="21" t="s">
        <v>42</v>
      </c>
      <c r="I45" s="2">
        <v>7</v>
      </c>
      <c r="J45" s="45">
        <f>G45*$O$15</f>
        <v>142.9</v>
      </c>
      <c r="K45" s="45">
        <f>G45*$O$16</f>
        <v>244.9</v>
      </c>
      <c r="L45" s="45">
        <f>G45*$O$17</f>
        <v>174.9</v>
      </c>
    </row>
    <row r="46" spans="1:12">
      <c r="A46" t="s">
        <v>95</v>
      </c>
      <c r="B46" s="17"/>
      <c r="C46" s="17">
        <f>B46</f>
        <v>0</v>
      </c>
      <c r="F46" s="21"/>
      <c r="G46" s="21">
        <f>C46</f>
        <v>0</v>
      </c>
      <c r="H46" s="21" t="s">
        <v>42</v>
      </c>
      <c r="I46" s="2">
        <v>7</v>
      </c>
      <c r="J46" s="45">
        <f>G46*$O$15</f>
        <v>0</v>
      </c>
      <c r="K46" s="45">
        <f>G46*$O$16</f>
        <v>0</v>
      </c>
      <c r="L46" s="45">
        <f>G46*$O$17</f>
        <v>0</v>
      </c>
    </row>
    <row r="47" spans="1:12">
      <c r="A47" t="s">
        <v>96</v>
      </c>
      <c r="B47" s="17">
        <v>1000</v>
      </c>
      <c r="C47" s="17">
        <v>6000</v>
      </c>
      <c r="F47" s="21">
        <v>6000</v>
      </c>
      <c r="G47" s="21"/>
      <c r="H47" s="21"/>
    </row>
    <row r="48" spans="1:12">
      <c r="A48" t="s">
        <v>91</v>
      </c>
      <c r="B48" s="17">
        <v>200</v>
      </c>
      <c r="C48" s="17">
        <f>B48</f>
        <v>200</v>
      </c>
      <c r="F48" s="21">
        <f>B48</f>
        <v>200</v>
      </c>
      <c r="G48" s="21"/>
      <c r="H48" s="21"/>
    </row>
    <row r="49" spans="1:12">
      <c r="B49" s="17"/>
      <c r="C49" s="17"/>
      <c r="F49" s="21">
        <f>B49</f>
        <v>0</v>
      </c>
      <c r="G49" s="21">
        <f t="shared" ref="G49:G56" si="3">C49</f>
        <v>0</v>
      </c>
    </row>
    <row r="50" spans="1:12">
      <c r="B50" s="17"/>
      <c r="C50" s="17"/>
      <c r="F50" s="21">
        <f>B50</f>
        <v>0</v>
      </c>
      <c r="G50" s="21">
        <f t="shared" si="3"/>
        <v>0</v>
      </c>
    </row>
    <row r="51" spans="1:12">
      <c r="A51" t="s">
        <v>242</v>
      </c>
      <c r="B51" s="17">
        <v>22800</v>
      </c>
      <c r="C51" s="17"/>
      <c r="F51" s="21"/>
      <c r="G51" s="21">
        <f t="shared" si="3"/>
        <v>0</v>
      </c>
      <c r="H51" s="21" t="s">
        <v>42</v>
      </c>
      <c r="I51" s="2">
        <v>7</v>
      </c>
      <c r="J51" s="45">
        <f>G51*$O$15</f>
        <v>0</v>
      </c>
      <c r="K51" s="45">
        <f>G51*$O$16</f>
        <v>0</v>
      </c>
      <c r="L51" s="45">
        <f>G51*$O$17</f>
        <v>0</v>
      </c>
    </row>
    <row r="52" spans="1:12">
      <c r="B52" s="17"/>
      <c r="C52" s="17"/>
      <c r="F52" s="21"/>
      <c r="G52" s="21">
        <f t="shared" si="3"/>
        <v>0</v>
      </c>
      <c r="H52" s="21" t="s">
        <v>42</v>
      </c>
      <c r="I52" s="2">
        <v>7</v>
      </c>
      <c r="J52" s="45">
        <f>G52*$O$15</f>
        <v>0</v>
      </c>
      <c r="K52" s="45">
        <f>G52*$O$16</f>
        <v>0</v>
      </c>
      <c r="L52" s="45">
        <f>G52*$O$17</f>
        <v>0</v>
      </c>
    </row>
    <row r="53" spans="1:12">
      <c r="A53" t="s">
        <v>74</v>
      </c>
      <c r="B53" s="17">
        <v>17000</v>
      </c>
      <c r="C53" s="17"/>
      <c r="F53" s="21"/>
      <c r="G53" s="21">
        <f t="shared" si="3"/>
        <v>0</v>
      </c>
      <c r="H53" s="21" t="s">
        <v>42</v>
      </c>
      <c r="I53" s="2">
        <v>7</v>
      </c>
      <c r="J53" s="45">
        <f>G53*$O$15</f>
        <v>0</v>
      </c>
      <c r="K53" s="45">
        <f>G53*$O$16</f>
        <v>0</v>
      </c>
      <c r="L53" s="45">
        <f>G53*$O$17</f>
        <v>0</v>
      </c>
    </row>
    <row r="54" spans="1:12">
      <c r="B54" s="17"/>
      <c r="C54" s="17"/>
      <c r="F54" s="21"/>
      <c r="G54" s="21">
        <f t="shared" si="3"/>
        <v>0</v>
      </c>
      <c r="H54" s="21" t="s">
        <v>42</v>
      </c>
      <c r="I54" s="2">
        <v>7</v>
      </c>
      <c r="J54" s="45">
        <f>G54*$O$15</f>
        <v>0</v>
      </c>
      <c r="K54" s="45">
        <f>G54*$O$16</f>
        <v>0</v>
      </c>
      <c r="L54" s="45">
        <f>G54*$O$17</f>
        <v>0</v>
      </c>
    </row>
    <row r="55" spans="1:12">
      <c r="A55" t="s">
        <v>16</v>
      </c>
      <c r="B55" s="19"/>
      <c r="C55" s="17">
        <f>B55</f>
        <v>0</v>
      </c>
      <c r="F55" s="21"/>
      <c r="G55" s="21">
        <f t="shared" si="3"/>
        <v>0</v>
      </c>
      <c r="H55" s="21" t="s">
        <v>42</v>
      </c>
      <c r="I55" s="2">
        <v>7</v>
      </c>
      <c r="J55" s="45">
        <f>G55*$O$15</f>
        <v>0</v>
      </c>
      <c r="K55" s="45">
        <f>G55*$O$16</f>
        <v>0</v>
      </c>
      <c r="L55" s="45">
        <f>G55*$O$17</f>
        <v>0</v>
      </c>
    </row>
    <row r="56" spans="1:12">
      <c r="A56" t="s">
        <v>89</v>
      </c>
      <c r="B56" s="17">
        <v>5000</v>
      </c>
      <c r="C56" s="17">
        <f>B56</f>
        <v>5000</v>
      </c>
      <c r="F56" s="21"/>
      <c r="G56" s="21">
        <f t="shared" si="3"/>
        <v>5000</v>
      </c>
      <c r="H56" s="21" t="s">
        <v>42</v>
      </c>
      <c r="I56" s="2">
        <v>5</v>
      </c>
      <c r="J56" s="45">
        <f>G56*$O$10</f>
        <v>1000</v>
      </c>
      <c r="K56" s="45">
        <f>G56*$O$11</f>
        <v>1600</v>
      </c>
      <c r="L56" s="45">
        <f>G56*$O$12</f>
        <v>960</v>
      </c>
    </row>
    <row r="57" spans="1:12">
      <c r="A57" t="s">
        <v>90</v>
      </c>
      <c r="B57" s="17">
        <v>500</v>
      </c>
      <c r="C57" s="17">
        <f>B57</f>
        <v>500</v>
      </c>
      <c r="F57" s="21">
        <v>2000</v>
      </c>
      <c r="G57" s="21"/>
    </row>
    <row r="58" spans="1:12">
      <c r="B58" s="17"/>
      <c r="C58" s="17"/>
    </row>
    <row r="59" spans="1:12">
      <c r="B59" s="17"/>
      <c r="C59" s="17"/>
      <c r="F59" s="21">
        <f>SUM(F5:F58)</f>
        <v>23280</v>
      </c>
      <c r="H59" s="21"/>
    </row>
    <row r="60" spans="1:12">
      <c r="A60" s="4" t="s">
        <v>17</v>
      </c>
      <c r="B60" s="18"/>
      <c r="C60" s="18"/>
      <c r="D60" s="4"/>
      <c r="E60" s="4"/>
      <c r="F60" s="95"/>
      <c r="G60" s="95"/>
      <c r="H60" s="21"/>
    </row>
    <row r="61" spans="1:12">
      <c r="A61" t="s">
        <v>79</v>
      </c>
      <c r="B61" s="17">
        <v>1000</v>
      </c>
      <c r="C61" s="17">
        <f>B61</f>
        <v>1000</v>
      </c>
      <c r="F61" s="21"/>
      <c r="G61" s="21">
        <f>C61</f>
        <v>1000</v>
      </c>
      <c r="H61" s="21" t="s">
        <v>42</v>
      </c>
      <c r="I61" s="2">
        <v>5</v>
      </c>
      <c r="J61" s="45">
        <f>G61*$O$10</f>
        <v>200</v>
      </c>
      <c r="K61" s="45">
        <f>G61*$O$11</f>
        <v>320</v>
      </c>
      <c r="L61" s="45">
        <f>G61*$O$12</f>
        <v>192</v>
      </c>
    </row>
    <row r="62" spans="1:12">
      <c r="A62" t="s">
        <v>80</v>
      </c>
      <c r="B62" s="17">
        <v>1000</v>
      </c>
      <c r="C62" s="17">
        <f>B62</f>
        <v>1000</v>
      </c>
      <c r="F62" s="21">
        <f>B62</f>
        <v>1000</v>
      </c>
      <c r="G62" s="21"/>
    </row>
    <row r="63" spans="1:12">
      <c r="A63" t="s">
        <v>81</v>
      </c>
      <c r="B63" s="17">
        <v>1000</v>
      </c>
      <c r="C63" s="17">
        <f>B63</f>
        <v>1000</v>
      </c>
      <c r="F63" s="21">
        <v>1000</v>
      </c>
      <c r="G63" s="21"/>
    </row>
    <row r="64" spans="1:12">
      <c r="B64" s="17"/>
      <c r="C64" s="17"/>
    </row>
    <row r="65" spans="1:12">
      <c r="B65" s="17"/>
      <c r="C65" s="17"/>
      <c r="F65" s="21">
        <f>SUM(F61:F64)</f>
        <v>2000</v>
      </c>
      <c r="H65" s="21"/>
    </row>
    <row r="66" spans="1:12">
      <c r="A66" s="4" t="s">
        <v>131</v>
      </c>
      <c r="B66" s="18"/>
      <c r="C66" s="18"/>
      <c r="D66" s="4"/>
      <c r="E66" s="4"/>
      <c r="F66" s="95"/>
      <c r="G66" s="95"/>
    </row>
    <row r="67" spans="1:12">
      <c r="A67" t="s">
        <v>5</v>
      </c>
      <c r="B67" s="17">
        <v>1000</v>
      </c>
      <c r="C67" s="17">
        <f t="shared" ref="C67:C73" si="4">B67</f>
        <v>1000</v>
      </c>
      <c r="F67" s="21"/>
      <c r="G67" s="21">
        <f t="shared" ref="G67:G72" si="5">C67</f>
        <v>1000</v>
      </c>
      <c r="H67" s="21" t="s">
        <v>42</v>
      </c>
      <c r="I67" s="2">
        <v>7</v>
      </c>
      <c r="J67" s="45">
        <f>G67*$O$15</f>
        <v>142.9</v>
      </c>
      <c r="K67" s="45">
        <f>G67*$O$16</f>
        <v>244.9</v>
      </c>
      <c r="L67" s="45">
        <f>G67*$O$17</f>
        <v>174.9</v>
      </c>
    </row>
    <row r="68" spans="1:12">
      <c r="A68" t="s">
        <v>6</v>
      </c>
      <c r="B68" s="19">
        <v>2000</v>
      </c>
      <c r="C68" s="17">
        <f t="shared" si="4"/>
        <v>2000</v>
      </c>
      <c r="F68" s="21"/>
      <c r="G68" s="21">
        <f t="shared" si="5"/>
        <v>2000</v>
      </c>
      <c r="H68" s="21" t="s">
        <v>42</v>
      </c>
      <c r="I68" s="2">
        <v>7</v>
      </c>
      <c r="J68" s="45">
        <f>G68*$O$15</f>
        <v>285.8</v>
      </c>
      <c r="K68" s="45">
        <f>G68*$O$16</f>
        <v>489.8</v>
      </c>
      <c r="L68" s="45">
        <f>G68*$O$17</f>
        <v>349.8</v>
      </c>
    </row>
    <row r="69" spans="1:12">
      <c r="A69" t="s">
        <v>7</v>
      </c>
      <c r="B69" s="19"/>
      <c r="C69" s="17">
        <f t="shared" si="4"/>
        <v>0</v>
      </c>
      <c r="D69" t="s">
        <v>8</v>
      </c>
      <c r="F69" s="21"/>
      <c r="G69" s="21">
        <f t="shared" si="5"/>
        <v>0</v>
      </c>
      <c r="H69" s="21" t="s">
        <v>42</v>
      </c>
      <c r="I69" s="2">
        <v>7</v>
      </c>
      <c r="J69" s="45">
        <f>G69*$O$15</f>
        <v>0</v>
      </c>
      <c r="K69" s="45">
        <f>G69*$O$16</f>
        <v>0</v>
      </c>
      <c r="L69" s="45">
        <f>G69*$O$17</f>
        <v>0</v>
      </c>
    </row>
    <row r="70" spans="1:12">
      <c r="A70" t="s">
        <v>12</v>
      </c>
      <c r="B70" s="19">
        <v>500</v>
      </c>
      <c r="C70" s="17">
        <f t="shared" si="4"/>
        <v>500</v>
      </c>
      <c r="F70" s="21">
        <f>B70</f>
        <v>500</v>
      </c>
      <c r="G70" s="21"/>
    </row>
    <row r="71" spans="1:12">
      <c r="A71" t="s">
        <v>13</v>
      </c>
      <c r="B71" s="19"/>
      <c r="C71" s="17">
        <f t="shared" si="4"/>
        <v>0</v>
      </c>
      <c r="F71" s="21"/>
      <c r="G71" s="21">
        <f t="shared" si="5"/>
        <v>0</v>
      </c>
      <c r="H71" s="21" t="s">
        <v>42</v>
      </c>
      <c r="I71" s="2">
        <v>5</v>
      </c>
      <c r="J71" s="45">
        <f>G71*$O$10</f>
        <v>0</v>
      </c>
      <c r="K71" s="45">
        <f>G71*$O$11</f>
        <v>0</v>
      </c>
      <c r="L71" s="45">
        <f>G71*$O$12</f>
        <v>0</v>
      </c>
    </row>
    <row r="72" spans="1:12">
      <c r="A72" t="s">
        <v>14</v>
      </c>
      <c r="B72" s="19">
        <v>1000</v>
      </c>
      <c r="C72" s="17">
        <f t="shared" si="4"/>
        <v>1000</v>
      </c>
      <c r="F72" s="21"/>
      <c r="G72" s="21">
        <f t="shared" si="5"/>
        <v>1000</v>
      </c>
      <c r="H72" s="21" t="s">
        <v>42</v>
      </c>
      <c r="I72" s="2">
        <v>3</v>
      </c>
      <c r="J72" s="45">
        <f>G72*$O$5</f>
        <v>333.3</v>
      </c>
      <c r="K72" s="45">
        <f>G72*$O$6</f>
        <v>444.5</v>
      </c>
      <c r="L72" s="45">
        <f>G72*$O$7</f>
        <v>148.10000000000002</v>
      </c>
    </row>
    <row r="73" spans="1:12">
      <c r="A73" t="s">
        <v>15</v>
      </c>
      <c r="B73" s="19">
        <v>5000</v>
      </c>
      <c r="C73" s="17">
        <f t="shared" si="4"/>
        <v>5000</v>
      </c>
      <c r="F73" s="21"/>
      <c r="G73" s="21">
        <f>B73</f>
        <v>5000</v>
      </c>
      <c r="H73" s="21" t="s">
        <v>42</v>
      </c>
      <c r="I73" s="2">
        <v>7</v>
      </c>
      <c r="J73" s="45">
        <f>G73*$O$15</f>
        <v>714.5</v>
      </c>
      <c r="K73" s="45">
        <f>G73*$O$16</f>
        <v>1224.5</v>
      </c>
      <c r="L73" s="45">
        <f>G73*$O$17</f>
        <v>874.5</v>
      </c>
    </row>
    <row r="74" spans="1:12">
      <c r="B74" s="17"/>
      <c r="C74" s="17"/>
    </row>
    <row r="75" spans="1:12">
      <c r="B75" s="17"/>
      <c r="C75" s="17"/>
      <c r="F75" s="21">
        <f>SUM(F67:F74)</f>
        <v>500</v>
      </c>
    </row>
    <row r="76" spans="1:12">
      <c r="A76" s="4" t="s">
        <v>18</v>
      </c>
      <c r="B76" s="18"/>
      <c r="C76" s="18"/>
      <c r="D76" s="4"/>
      <c r="E76" s="4"/>
      <c r="F76" s="95"/>
      <c r="G76" s="95"/>
    </row>
    <row r="77" spans="1:12">
      <c r="A77" t="s">
        <v>82</v>
      </c>
      <c r="B77" s="17">
        <v>1000</v>
      </c>
      <c r="C77" s="17"/>
      <c r="F77" s="21"/>
      <c r="G77" s="21">
        <f>B77</f>
        <v>1000</v>
      </c>
      <c r="H77" s="21" t="s">
        <v>42</v>
      </c>
      <c r="I77" s="2">
        <v>15</v>
      </c>
      <c r="J77" s="45">
        <f>G77*$O$20</f>
        <v>50</v>
      </c>
      <c r="K77" s="45">
        <f>G77*$O$21</f>
        <v>95</v>
      </c>
      <c r="L77" s="45">
        <f>G77*$O$22</f>
        <v>85.5</v>
      </c>
    </row>
    <row r="78" spans="1:12">
      <c r="A78" t="s">
        <v>87</v>
      </c>
      <c r="B78" s="17">
        <v>15000</v>
      </c>
      <c r="C78" s="17"/>
      <c r="F78" s="21">
        <f>B78</f>
        <v>15000</v>
      </c>
    </row>
    <row r="79" spans="1:12">
      <c r="A79" t="s">
        <v>88</v>
      </c>
      <c r="B79" s="17">
        <v>125000</v>
      </c>
      <c r="C79" s="17"/>
      <c r="F79" s="21"/>
      <c r="G79" s="21">
        <f>B79</f>
        <v>125000</v>
      </c>
      <c r="H79" s="21" t="s">
        <v>42</v>
      </c>
      <c r="I79" s="2">
        <v>15</v>
      </c>
      <c r="J79" s="45">
        <f>G79*$O$20</f>
        <v>6250</v>
      </c>
      <c r="K79" s="45">
        <f>G79*$O$21</f>
        <v>11875</v>
      </c>
      <c r="L79" s="45">
        <f>G79*$O$22</f>
        <v>10687.5</v>
      </c>
    </row>
    <row r="80" spans="1:12">
      <c r="A80" t="s">
        <v>9</v>
      </c>
      <c r="B80" s="19"/>
      <c r="C80" s="17"/>
      <c r="F80" s="21">
        <f>B80</f>
        <v>0</v>
      </c>
      <c r="G80" s="21"/>
    </row>
    <row r="81" spans="1:12">
      <c r="A81" t="s">
        <v>10</v>
      </c>
      <c r="B81" s="19"/>
      <c r="C81" s="17"/>
      <c r="F81" s="21">
        <f>B81</f>
        <v>0</v>
      </c>
      <c r="G81" s="21"/>
      <c r="H81" s="10"/>
    </row>
    <row r="82" spans="1:12">
      <c r="A82" t="s">
        <v>11</v>
      </c>
      <c r="B82" s="19">
        <v>100</v>
      </c>
      <c r="C82" s="17"/>
      <c r="F82" s="21">
        <f>B82</f>
        <v>100</v>
      </c>
      <c r="G82" s="21"/>
    </row>
    <row r="84" spans="1:12">
      <c r="F84" s="21">
        <f>SUM(F77:F83)</f>
        <v>15100</v>
      </c>
    </row>
    <row r="85" spans="1:12">
      <c r="A85" t="s">
        <v>167</v>
      </c>
      <c r="F85" s="21"/>
      <c r="G85" s="21">
        <f>SUM(G5:G82)-G42</f>
        <v>218550</v>
      </c>
    </row>
    <row r="86" spans="1:12">
      <c r="A86" t="s">
        <v>168</v>
      </c>
      <c r="G86" s="21">
        <f>G42</f>
        <v>0</v>
      </c>
    </row>
    <row r="87" spans="1:12">
      <c r="F87" s="21">
        <f>F75+F59+F65+F84</f>
        <v>40880</v>
      </c>
    </row>
    <row r="88" spans="1:12" s="43" customFormat="1" ht="18">
      <c r="A88" s="43" t="s">
        <v>166</v>
      </c>
      <c r="F88" s="96"/>
      <c r="G88" s="96"/>
      <c r="I88" s="44"/>
      <c r="J88" s="46">
        <f>SUM(J5:J79)</f>
        <v>18458.024999999998</v>
      </c>
      <c r="K88" s="46">
        <f>SUM(K5:K79)</f>
        <v>32618.225000000002</v>
      </c>
      <c r="L88" s="46">
        <f>SUM(L5:L79)</f>
        <v>25306.474999999999</v>
      </c>
    </row>
  </sheetData>
  <mergeCells count="1">
    <mergeCell ref="A2:E2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D19" sqref="D19"/>
    </sheetView>
  </sheetViews>
  <sheetFormatPr defaultColWidth="11.42578125" defaultRowHeight="12.75"/>
  <cols>
    <col min="1" max="1" width="31.140625" bestFit="1" customWidth="1"/>
    <col min="2" max="2" width="12.42578125" style="1" bestFit="1" customWidth="1"/>
    <col min="3" max="4" width="12.42578125" bestFit="1" customWidth="1"/>
  </cols>
  <sheetData>
    <row r="1" spans="1:4" ht="15.75">
      <c r="A1" s="111" t="s">
        <v>169</v>
      </c>
      <c r="B1" s="112"/>
      <c r="C1" s="112"/>
      <c r="D1" s="47"/>
    </row>
    <row r="2" spans="1:4" ht="15.75">
      <c r="A2" s="24" t="s">
        <v>202</v>
      </c>
      <c r="B2" s="48" t="s">
        <v>175</v>
      </c>
      <c r="C2" s="48" t="s">
        <v>176</v>
      </c>
      <c r="D2" s="48" t="s">
        <v>177</v>
      </c>
    </row>
    <row r="3" spans="1:4" ht="15.75">
      <c r="A3" s="49" t="s">
        <v>203</v>
      </c>
      <c r="B3" s="24"/>
      <c r="C3" s="24"/>
      <c r="D3" s="24"/>
    </row>
    <row r="4" spans="1:4" ht="15.75">
      <c r="A4" s="50" t="s">
        <v>105</v>
      </c>
      <c r="B4" s="51"/>
      <c r="C4" s="51"/>
      <c r="D4" s="51"/>
    </row>
    <row r="5" spans="1:4" ht="15.75">
      <c r="A5" s="52" t="s">
        <v>106</v>
      </c>
      <c r="B5" s="51">
        <f>'Cash Flow'!N23</f>
        <v>94246.03</v>
      </c>
      <c r="C5" s="51">
        <f>'Cash Flow'!Z23</f>
        <v>93651.977499999979</v>
      </c>
      <c r="D5" s="51">
        <f>'Cash Flow'!AL23</f>
        <v>215355.66749999998</v>
      </c>
    </row>
    <row r="6" spans="1:4" ht="15.75">
      <c r="A6" s="52" t="s">
        <v>107</v>
      </c>
      <c r="B6" s="51">
        <f>0.05*('Profit and Loss'!M4+'Profit and Loss'!M3)</f>
        <v>1623.625</v>
      </c>
      <c r="C6" s="51">
        <f>0.05*('Profit and Loss'!Y4+'Profit and Loss'!Y3)</f>
        <v>2616.9375</v>
      </c>
      <c r="D6" s="51">
        <f>0.05*('Profit and Loss'!AK4+'Profit and Loss'!AK3)</f>
        <v>4065.1875</v>
      </c>
    </row>
    <row r="7" spans="1:4" ht="15.75">
      <c r="A7" s="52" t="s">
        <v>170</v>
      </c>
      <c r="B7" s="51">
        <f>'Sales Forecast'!N48</f>
        <v>25880.445110933335</v>
      </c>
      <c r="C7" s="51">
        <f>'Sales Forecast'!Z48</f>
        <v>84722.010354488884</v>
      </c>
      <c r="D7" s="51">
        <f>'Sales Forecast'!AL48</f>
        <v>178260.87566204445</v>
      </c>
    </row>
    <row r="8" spans="1:4" ht="15.75">
      <c r="A8" s="24" t="s">
        <v>108</v>
      </c>
      <c r="B8" s="53">
        <f>B5+B6+B7</f>
        <v>121750.10011093333</v>
      </c>
      <c r="C8" s="53">
        <f>C5+C6+C7</f>
        <v>180990.92535448886</v>
      </c>
      <c r="D8" s="53">
        <f>D5+D6+D7</f>
        <v>397681.73066204443</v>
      </c>
    </row>
    <row r="9" spans="1:4" ht="15.75">
      <c r="A9" s="24"/>
      <c r="B9" s="51"/>
      <c r="C9" s="51"/>
      <c r="D9" s="51"/>
    </row>
    <row r="10" spans="1:4" ht="15.75">
      <c r="A10" s="52"/>
      <c r="B10" s="51"/>
      <c r="C10" s="51"/>
      <c r="D10" s="51"/>
    </row>
    <row r="11" spans="1:4" ht="15.75">
      <c r="A11" s="54" t="s">
        <v>109</v>
      </c>
      <c r="B11" s="51"/>
      <c r="C11" s="51"/>
      <c r="D11" s="51"/>
    </row>
    <row r="12" spans="1:4" ht="15.75">
      <c r="A12" s="52" t="s">
        <v>110</v>
      </c>
      <c r="B12" s="51">
        <f>'Start Up Funds and Fixed Assets'!G85</f>
        <v>218550</v>
      </c>
      <c r="C12" s="51">
        <f>B12+'Start Up Funds and Fixed Assets'!G86</f>
        <v>218550</v>
      </c>
      <c r="D12" s="51">
        <f>C12</f>
        <v>218550</v>
      </c>
    </row>
    <row r="13" spans="1:4" ht="15.75">
      <c r="A13" s="52" t="s">
        <v>111</v>
      </c>
      <c r="B13" s="51">
        <f>-'Start Up Funds and Fixed Assets'!J88</f>
        <v>-18458.024999999998</v>
      </c>
      <c r="C13" s="51">
        <f>B13-'Start Up Funds and Fixed Assets'!K88</f>
        <v>-51076.25</v>
      </c>
      <c r="D13" s="51">
        <f>C13-'Start Up Funds and Fixed Assets'!L88</f>
        <v>-76382.725000000006</v>
      </c>
    </row>
    <row r="14" spans="1:4" ht="15.75">
      <c r="A14" s="52"/>
      <c r="B14" s="51"/>
      <c r="C14" s="51"/>
      <c r="D14" s="51"/>
    </row>
    <row r="15" spans="1:4" ht="15.75">
      <c r="A15" s="24" t="s">
        <v>112</v>
      </c>
      <c r="B15" s="51">
        <f>B12+B13</f>
        <v>200091.97500000001</v>
      </c>
      <c r="C15" s="51">
        <f>C12+C13</f>
        <v>167473.75</v>
      </c>
      <c r="D15" s="51">
        <f>D12+D13</f>
        <v>142167.27499999999</v>
      </c>
    </row>
    <row r="16" spans="1:4" ht="15.75">
      <c r="A16" s="24"/>
      <c r="B16" s="51"/>
      <c r="C16" s="51"/>
      <c r="D16" s="51"/>
    </row>
    <row r="17" spans="1:4" ht="15.75">
      <c r="A17" s="49" t="s">
        <v>113</v>
      </c>
      <c r="B17" s="76">
        <f>B8+B15</f>
        <v>321842.07511093334</v>
      </c>
      <c r="C17" s="76">
        <f>C8+C15</f>
        <v>348464.67535448889</v>
      </c>
      <c r="D17" s="76">
        <f>D8+D15</f>
        <v>539849.00566204439</v>
      </c>
    </row>
    <row r="18" spans="1:4" ht="15.75">
      <c r="A18" s="24"/>
      <c r="B18" s="51"/>
      <c r="C18" s="51"/>
      <c r="D18" s="51"/>
    </row>
    <row r="19" spans="1:4" ht="15.75">
      <c r="A19" s="49" t="s">
        <v>171</v>
      </c>
      <c r="B19" s="51"/>
      <c r="C19" s="51"/>
      <c r="D19" s="51"/>
    </row>
    <row r="20" spans="1:4" ht="15.75">
      <c r="A20" s="50" t="s">
        <v>114</v>
      </c>
      <c r="B20" s="51"/>
      <c r="C20" s="51"/>
      <c r="D20" s="51"/>
    </row>
    <row r="21" spans="1:4" ht="15.75">
      <c r="A21" s="52" t="s">
        <v>178</v>
      </c>
      <c r="B21" s="51">
        <f>4480*0.7</f>
        <v>3136</v>
      </c>
      <c r="C21" s="51">
        <f>5460*0.7</f>
        <v>3821.9999999999995</v>
      </c>
      <c r="D21" s="51">
        <f>5460*0.7</f>
        <v>3821.9999999999995</v>
      </c>
    </row>
    <row r="22" spans="1:4" ht="31.5">
      <c r="A22" s="61" t="s">
        <v>172</v>
      </c>
      <c r="B22" s="51">
        <v>0</v>
      </c>
      <c r="C22" s="51">
        <v>0</v>
      </c>
      <c r="D22" s="51">
        <v>29457.25</v>
      </c>
    </row>
    <row r="23" spans="1:4" ht="15.75">
      <c r="A23" s="49" t="s">
        <v>115</v>
      </c>
      <c r="B23" s="51">
        <f>SUM(B21:B22)</f>
        <v>3136</v>
      </c>
      <c r="C23" s="51">
        <f>SUM(C21:C22)</f>
        <v>3821.9999999999995</v>
      </c>
      <c r="D23" s="51">
        <f>SUM(D21:D22)</f>
        <v>33279.25</v>
      </c>
    </row>
    <row r="24" spans="1:4" ht="15.75">
      <c r="A24" s="24"/>
      <c r="B24" s="51"/>
      <c r="C24" s="51"/>
      <c r="D24" s="51"/>
    </row>
    <row r="25" spans="1:4" ht="15.75">
      <c r="A25" s="62" t="s">
        <v>46</v>
      </c>
      <c r="B25" s="51"/>
      <c r="C25" s="51"/>
      <c r="D25" s="51"/>
    </row>
    <row r="26" spans="1:4" ht="15.75">
      <c r="A26" s="52" t="s">
        <v>116</v>
      </c>
      <c r="B26" s="51">
        <v>172000</v>
      </c>
      <c r="C26" s="51">
        <f>B26-C22</f>
        <v>172000</v>
      </c>
      <c r="D26" s="51">
        <f>C26-D22</f>
        <v>142542.75</v>
      </c>
    </row>
    <row r="27" spans="1:4" ht="15.75">
      <c r="A27" s="63" t="s">
        <v>117</v>
      </c>
      <c r="B27" s="51">
        <f>SUM(B26:B26)</f>
        <v>172000</v>
      </c>
      <c r="C27" s="51">
        <f>SUM(C26:C26)</f>
        <v>172000</v>
      </c>
      <c r="D27" s="51">
        <f>SUM(D26:D26)</f>
        <v>142542.75</v>
      </c>
    </row>
    <row r="28" spans="1:4" ht="15.75">
      <c r="A28" s="24"/>
      <c r="B28" s="51"/>
      <c r="C28" s="51"/>
      <c r="D28" s="51"/>
    </row>
    <row r="29" spans="1:4" ht="15.75">
      <c r="A29" s="54" t="s">
        <v>49</v>
      </c>
      <c r="B29" s="51"/>
      <c r="C29" s="51"/>
      <c r="D29" s="51"/>
    </row>
    <row r="30" spans="1:4" ht="15.75">
      <c r="A30" s="52" t="s">
        <v>173</v>
      </c>
      <c r="B30" s="51">
        <v>240000</v>
      </c>
      <c r="C30" s="51">
        <f>B30</f>
        <v>240000</v>
      </c>
      <c r="D30" s="51">
        <f>C30</f>
        <v>240000</v>
      </c>
    </row>
    <row r="31" spans="1:4" ht="15.75">
      <c r="A31" s="52" t="s">
        <v>118</v>
      </c>
      <c r="B31" s="51">
        <f>SUM('Profit and Loss'!B55:'Profit and Loss'!M55)</f>
        <v>-93293.919953066681</v>
      </c>
      <c r="C31" s="51">
        <f>B31+SUM('Profit and Loss'!N55:'Profit and Loss'!Y55)</f>
        <v>-67357.324780622264</v>
      </c>
      <c r="D31" s="51">
        <f>C31+SUM('Profit and Loss'!Z55:'Profit and Loss'!AK55)</f>
        <v>124027.01049493329</v>
      </c>
    </row>
    <row r="32" spans="1:4" ht="15.75">
      <c r="A32" s="63" t="s">
        <v>174</v>
      </c>
      <c r="B32" s="51">
        <f>SUM(B30:B31)</f>
        <v>146706.08004693332</v>
      </c>
      <c r="C32" s="51">
        <f>SUM(C30:C31)</f>
        <v>172642.67521937774</v>
      </c>
      <c r="D32" s="51">
        <f>SUM(D30:D31)</f>
        <v>364027.01049493329</v>
      </c>
    </row>
    <row r="33" spans="1:5" ht="15.75">
      <c r="A33" s="52"/>
      <c r="B33" s="51"/>
      <c r="C33" s="51"/>
      <c r="D33" s="51"/>
    </row>
    <row r="34" spans="1:5" ht="31.5">
      <c r="A34" s="64" t="s">
        <v>50</v>
      </c>
      <c r="B34" s="76">
        <f>B23+B27+B32</f>
        <v>321842.08004693332</v>
      </c>
      <c r="C34" s="77">
        <f>C23+C27+C32</f>
        <v>348464.67521937774</v>
      </c>
      <c r="D34" s="77">
        <f>D23+D27+D32</f>
        <v>539849.01049493323</v>
      </c>
      <c r="E34" s="10"/>
    </row>
    <row r="35" spans="1:5" ht="15.75">
      <c r="A35" s="25"/>
      <c r="B35" s="26"/>
      <c r="C35" s="26"/>
      <c r="D35" s="26"/>
    </row>
    <row r="36" spans="1:5">
      <c r="B36" s="107"/>
      <c r="C36" s="107"/>
      <c r="D36" s="107"/>
    </row>
  </sheetData>
  <mergeCells count="1">
    <mergeCell ref="A1:C1"/>
  </mergeCells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Normal="100" workbookViewId="0">
      <selection activeCell="E24" sqref="E24"/>
    </sheetView>
  </sheetViews>
  <sheetFormatPr defaultColWidth="11.42578125" defaultRowHeight="12.75"/>
  <cols>
    <col min="1" max="1" width="7.28515625" customWidth="1"/>
    <col min="2" max="2" width="25.7109375" bestFit="1" customWidth="1"/>
    <col min="3" max="3" width="12.42578125" bestFit="1" customWidth="1"/>
    <col min="4" max="4" width="11.28515625" bestFit="1" customWidth="1"/>
    <col min="5" max="6" width="12.42578125" bestFit="1" customWidth="1"/>
    <col min="7" max="7" width="11.28515625" bestFit="1" customWidth="1"/>
    <col min="8" max="9" width="12.42578125" bestFit="1" customWidth="1"/>
    <col min="10" max="10" width="11.140625" bestFit="1" customWidth="1"/>
    <col min="11" max="11" width="11" bestFit="1" customWidth="1"/>
    <col min="12" max="12" width="10.28515625" bestFit="1" customWidth="1"/>
    <col min="13" max="13" width="9.7109375" bestFit="1" customWidth="1"/>
    <col min="14" max="15" width="10.28515625" bestFit="1" customWidth="1"/>
    <col min="16" max="17" width="9.7109375" bestFit="1" customWidth="1"/>
    <col min="18" max="18" width="11.42578125" bestFit="1" customWidth="1"/>
    <col min="19" max="19" width="11.42578125" customWidth="1"/>
    <col min="20" max="21" width="11.42578125" bestFit="1" customWidth="1"/>
    <col min="22" max="22" width="10.42578125" bestFit="1" customWidth="1"/>
    <col min="23" max="24" width="11.42578125" bestFit="1" customWidth="1"/>
    <col min="25" max="25" width="11.42578125" customWidth="1"/>
    <col min="26" max="27" width="11.42578125" bestFit="1" customWidth="1"/>
    <col min="28" max="28" width="12.85546875" bestFit="1" customWidth="1"/>
    <col min="29" max="30" width="12.140625" bestFit="1" customWidth="1"/>
    <col min="31" max="31" width="11.42578125" customWidth="1"/>
    <col min="32" max="32" width="12.28515625" bestFit="1" customWidth="1"/>
    <col min="33" max="33" width="12.140625" bestFit="1" customWidth="1"/>
    <col min="34" max="34" width="11.42578125" customWidth="1"/>
    <col min="35" max="36" width="12.140625" bestFit="1" customWidth="1"/>
    <col min="37" max="37" width="11.42578125" customWidth="1"/>
    <col min="38" max="38" width="12.140625" bestFit="1" customWidth="1"/>
  </cols>
  <sheetData>
    <row r="1" spans="1:38" s="59" customFormat="1" ht="18.75">
      <c r="A1" s="58" t="s">
        <v>132</v>
      </c>
      <c r="B1" s="56"/>
      <c r="C1" s="57">
        <v>1</v>
      </c>
      <c r="D1" s="57">
        <v>2</v>
      </c>
      <c r="E1" s="57">
        <v>3</v>
      </c>
      <c r="F1" s="57">
        <v>4</v>
      </c>
      <c r="G1" s="57">
        <v>5</v>
      </c>
      <c r="H1" s="57">
        <v>6</v>
      </c>
      <c r="I1" s="57">
        <v>7</v>
      </c>
      <c r="J1" s="57">
        <v>8</v>
      </c>
      <c r="K1" s="57">
        <v>9</v>
      </c>
      <c r="L1" s="57">
        <v>10</v>
      </c>
      <c r="M1" s="57">
        <v>11</v>
      </c>
      <c r="N1" s="57">
        <v>12</v>
      </c>
      <c r="O1" s="57">
        <v>13</v>
      </c>
      <c r="P1" s="57">
        <v>14</v>
      </c>
      <c r="Q1" s="57">
        <v>15</v>
      </c>
      <c r="R1" s="57">
        <v>16</v>
      </c>
      <c r="S1" s="57">
        <v>17</v>
      </c>
      <c r="T1" s="57">
        <v>18</v>
      </c>
      <c r="U1" s="57">
        <v>19</v>
      </c>
      <c r="V1" s="57">
        <v>20</v>
      </c>
      <c r="W1" s="57">
        <v>21</v>
      </c>
      <c r="X1" s="57">
        <v>22</v>
      </c>
      <c r="Y1" s="57">
        <v>23</v>
      </c>
      <c r="Z1" s="57">
        <v>24</v>
      </c>
      <c r="AA1" s="57">
        <v>25</v>
      </c>
      <c r="AB1" s="57">
        <v>26</v>
      </c>
      <c r="AC1" s="57">
        <v>27</v>
      </c>
      <c r="AD1" s="57">
        <v>28</v>
      </c>
      <c r="AE1" s="57">
        <v>29</v>
      </c>
      <c r="AF1" s="57">
        <v>30</v>
      </c>
      <c r="AG1" s="57">
        <v>31</v>
      </c>
      <c r="AH1" s="57">
        <v>32</v>
      </c>
      <c r="AI1" s="57">
        <v>33</v>
      </c>
      <c r="AJ1" s="57">
        <v>34</v>
      </c>
      <c r="AK1" s="57">
        <v>35</v>
      </c>
      <c r="AL1" s="57">
        <v>36</v>
      </c>
    </row>
    <row r="2" spans="1:38" ht="15">
      <c r="A2" s="74" t="s">
        <v>139</v>
      </c>
      <c r="B2" s="65"/>
      <c r="C2" s="66"/>
      <c r="D2" s="67"/>
      <c r="E2" s="66"/>
      <c r="F2" s="66"/>
      <c r="G2" s="67"/>
      <c r="H2" s="66"/>
      <c r="I2" s="66"/>
      <c r="J2" s="67"/>
      <c r="K2" s="66"/>
      <c r="L2" s="66"/>
      <c r="M2" s="67"/>
      <c r="N2" s="66"/>
      <c r="O2" s="66"/>
      <c r="P2" s="67"/>
      <c r="Q2" s="66"/>
      <c r="R2" s="66"/>
      <c r="S2" s="67"/>
      <c r="T2" s="66"/>
      <c r="U2" s="66"/>
      <c r="V2" s="67"/>
      <c r="W2" s="66"/>
      <c r="X2" s="66"/>
      <c r="Y2" s="67"/>
      <c r="Z2" s="66"/>
      <c r="AA2" s="66"/>
      <c r="AB2" s="67"/>
      <c r="AC2" s="66"/>
      <c r="AD2" s="66"/>
      <c r="AE2" s="67"/>
      <c r="AF2" s="66"/>
      <c r="AG2" s="66"/>
      <c r="AH2" s="67"/>
      <c r="AI2" s="66"/>
      <c r="AJ2" s="66"/>
      <c r="AK2" s="67"/>
      <c r="AL2" s="66"/>
    </row>
    <row r="3" spans="1:38">
      <c r="A3" s="68"/>
      <c r="B3" s="68" t="s">
        <v>120</v>
      </c>
      <c r="C3" s="66">
        <f>'Profit and Loss'!B55</f>
        <v>-9064.09</v>
      </c>
      <c r="D3" s="66">
        <f>'Profit and Loss'!C55</f>
        <v>-7469.09</v>
      </c>
      <c r="E3" s="66">
        <f>'Profit and Loss'!D55</f>
        <v>-7469.09</v>
      </c>
      <c r="F3" s="66">
        <f>'Profit and Loss'!E55</f>
        <v>-7469.09</v>
      </c>
      <c r="G3" s="66">
        <f>'Profit and Loss'!F55</f>
        <v>-10719.09</v>
      </c>
      <c r="H3" s="66">
        <f>'Profit and Loss'!G55</f>
        <v>-11719.09</v>
      </c>
      <c r="I3" s="66">
        <f>'Profit and Loss'!H55</f>
        <v>-21185.51</v>
      </c>
      <c r="J3" s="66">
        <f>'Profit and Loss'!I55</f>
        <v>-15489.909995733336</v>
      </c>
      <c r="K3" s="66">
        <f>'Profit and Loss'!J55</f>
        <v>-9360.5399893333361</v>
      </c>
      <c r="L3" s="66">
        <f>'Profit and Loss'!K55</f>
        <v>4106.1100106666599</v>
      </c>
      <c r="M3" s="66">
        <f>'Profit and Loss'!L55</f>
        <v>-2660.3399893333353</v>
      </c>
      <c r="N3" s="66">
        <f>'Profit and Loss'!M55</f>
        <v>5205.8100106666643</v>
      </c>
      <c r="O3" s="66">
        <f>'Profit and Loss'!N55</f>
        <v>-6918.9899893333368</v>
      </c>
      <c r="P3" s="66">
        <f>'Profit and Loss'!O55</f>
        <v>-6707.1399893333382</v>
      </c>
      <c r="Q3" s="66">
        <f>'Profit and Loss'!P55</f>
        <v>-5290.2399893333368</v>
      </c>
      <c r="R3" s="66">
        <f>'Profit and Loss'!Q55</f>
        <v>-2717.8399893333371</v>
      </c>
      <c r="S3" s="66">
        <f>'Profit and Loss'!R55</f>
        <v>-3343.7899893333379</v>
      </c>
      <c r="T3" s="66">
        <f>'Profit and Loss'!S55</f>
        <v>338.5100106666614</v>
      </c>
      <c r="U3" s="66">
        <f>'Profit and Loss'!T55</f>
        <v>-4031.8399893333371</v>
      </c>
      <c r="V3" s="66">
        <f>'Profit and Loss'!U55</f>
        <v>2065.530017777779</v>
      </c>
      <c r="W3" s="66">
        <f>'Profit and Loss'!V55</f>
        <v>-2795.1449804444455</v>
      </c>
      <c r="X3" s="66">
        <f>'Profit and Loss'!W55</f>
        <v>15407.555019555555</v>
      </c>
      <c r="Y3" s="66">
        <f>'Profit and Loss'!X55</f>
        <v>16925.830021333335</v>
      </c>
      <c r="Z3" s="66">
        <f>'Profit and Loss'!Y55</f>
        <v>23004.155019555554</v>
      </c>
      <c r="AA3" s="66">
        <f>'Profit and Loss'!Z55</f>
        <v>1308.555023111112</v>
      </c>
      <c r="AB3" s="66">
        <f>'Profit and Loss'!AA55</f>
        <v>16432.280024888889</v>
      </c>
      <c r="AC3" s="66">
        <f>'Profit and Loss'!AB55</f>
        <v>14637.73002488889</v>
      </c>
      <c r="AD3" s="66">
        <f>'Profit and Loss'!AC55</f>
        <v>19401.455023111113</v>
      </c>
      <c r="AE3" s="66">
        <f>'Profit and Loss'!AD55</f>
        <v>-8692.1449804444455</v>
      </c>
      <c r="AF3" s="66">
        <f>'Profit and Loss'!AE55</f>
        <v>8690.9550195555566</v>
      </c>
      <c r="AG3" s="66">
        <f>'Profit and Loss'!AF55</f>
        <v>-815.74498044444408</v>
      </c>
      <c r="AH3" s="66">
        <f>'Profit and Loss'!AG55</f>
        <v>12790.680021333334</v>
      </c>
      <c r="AI3" s="66">
        <f>'Profit and Loss'!AH55</f>
        <v>39305.605023111115</v>
      </c>
      <c r="AJ3" s="66">
        <f>'Profit and Loss'!AI55</f>
        <v>23202.080024888885</v>
      </c>
      <c r="AK3" s="66">
        <f>'Profit and Loss'!AJ55</f>
        <v>24414.780024888889</v>
      </c>
      <c r="AL3" s="66">
        <f>'Profit and Loss'!AK55</f>
        <v>40708.105026666672</v>
      </c>
    </row>
    <row r="4" spans="1:38">
      <c r="A4" s="113" t="s">
        <v>121</v>
      </c>
      <c r="B4" s="113"/>
      <c r="C4" s="66"/>
      <c r="D4" s="67"/>
      <c r="E4" s="66"/>
      <c r="F4" s="66"/>
      <c r="G4" s="67"/>
      <c r="H4" s="66"/>
      <c r="I4" s="66"/>
      <c r="J4" s="67"/>
      <c r="K4" s="66"/>
      <c r="L4" s="66"/>
      <c r="M4" s="67"/>
      <c r="N4" s="66"/>
      <c r="O4" s="66"/>
      <c r="P4" s="67"/>
      <c r="Q4" s="66"/>
      <c r="R4" s="66"/>
      <c r="S4" s="67"/>
      <c r="T4" s="66"/>
      <c r="U4" s="66"/>
      <c r="V4" s="67"/>
      <c r="W4" s="66"/>
      <c r="X4" s="66"/>
      <c r="Y4" s="67"/>
      <c r="Z4" s="66"/>
      <c r="AA4" s="66"/>
      <c r="AB4" s="67"/>
      <c r="AC4" s="66"/>
      <c r="AD4" s="66"/>
      <c r="AE4" s="67"/>
      <c r="AF4" s="66"/>
      <c r="AG4" s="66"/>
      <c r="AH4" s="67"/>
      <c r="AI4" s="66"/>
      <c r="AJ4" s="66"/>
      <c r="AK4" s="67"/>
      <c r="AL4" s="66"/>
    </row>
    <row r="5" spans="1:38">
      <c r="A5" s="68"/>
      <c r="B5" s="68" t="s">
        <v>179</v>
      </c>
      <c r="C5" s="66">
        <f>'Profit and Loss'!B54</f>
        <v>0</v>
      </c>
      <c r="D5" s="66">
        <f>'Profit and Loss'!C54</f>
        <v>0</v>
      </c>
      <c r="E5" s="66">
        <f>'Profit and Loss'!D54</f>
        <v>0</v>
      </c>
      <c r="F5" s="66">
        <f>'Profit and Loss'!E54</f>
        <v>0</v>
      </c>
      <c r="G5" s="66">
        <f>'Profit and Loss'!F54</f>
        <v>0</v>
      </c>
      <c r="H5" s="66">
        <f>'Profit and Loss'!G54</f>
        <v>0</v>
      </c>
      <c r="I5" s="66">
        <f>'Profit and Loss'!H54</f>
        <v>0</v>
      </c>
      <c r="J5" s="66">
        <f>'Profit and Loss'!I54</f>
        <v>0</v>
      </c>
      <c r="K5" s="66">
        <f>'Profit and Loss'!J54</f>
        <v>0</v>
      </c>
      <c r="L5" s="66">
        <f>'Profit and Loss'!K54</f>
        <v>0</v>
      </c>
      <c r="M5" s="66">
        <f>'Profit and Loss'!L54</f>
        <v>0</v>
      </c>
      <c r="N5" s="66">
        <f>'Profit and Loss'!M54</f>
        <v>0</v>
      </c>
      <c r="O5" s="66">
        <f>'Profit and Loss'!N54</f>
        <v>0</v>
      </c>
      <c r="P5" s="66">
        <f>'Profit and Loss'!O54</f>
        <v>0</v>
      </c>
      <c r="Q5" s="66">
        <f>'Profit and Loss'!P54</f>
        <v>0</v>
      </c>
      <c r="R5" s="66">
        <f>'Profit and Loss'!Q54</f>
        <v>0</v>
      </c>
      <c r="S5" s="66">
        <f>'Profit and Loss'!R54</f>
        <v>0</v>
      </c>
      <c r="T5" s="66">
        <f>'Profit and Loss'!S54</f>
        <v>0</v>
      </c>
      <c r="U5" s="66">
        <f>'Profit and Loss'!T54</f>
        <v>0</v>
      </c>
      <c r="V5" s="66">
        <f>'Profit and Loss'!U54</f>
        <v>0</v>
      </c>
      <c r="W5" s="66">
        <f>'Profit and Loss'!V54</f>
        <v>0</v>
      </c>
      <c r="X5" s="66">
        <f>'Profit and Loss'!W54</f>
        <v>0</v>
      </c>
      <c r="Y5" s="66">
        <f>'Profit and Loss'!X54</f>
        <v>0</v>
      </c>
      <c r="Z5" s="66">
        <f>'Profit and Loss'!Y54</f>
        <v>0</v>
      </c>
      <c r="AA5" s="66">
        <f>'Profit and Loss'!Z54</f>
        <v>0</v>
      </c>
      <c r="AB5" s="66">
        <f>'Profit and Loss'!AA54</f>
        <v>0</v>
      </c>
      <c r="AC5" s="66">
        <f>'Profit and Loss'!AB54</f>
        <v>0</v>
      </c>
      <c r="AD5" s="66">
        <f>'Profit and Loss'!AC54</f>
        <v>0</v>
      </c>
      <c r="AE5" s="66">
        <f>'Profit and Loss'!AD54</f>
        <v>0</v>
      </c>
      <c r="AF5" s="66">
        <f>'Profit and Loss'!AE54</f>
        <v>0</v>
      </c>
      <c r="AG5" s="66">
        <f>'Profit and Loss'!AF54</f>
        <v>0</v>
      </c>
      <c r="AH5" s="66">
        <f>'Profit and Loss'!AG54</f>
        <v>0</v>
      </c>
      <c r="AI5" s="66">
        <f>'Profit and Loss'!AH54</f>
        <v>0</v>
      </c>
      <c r="AJ5" s="66">
        <f>'Profit and Loss'!AI54</f>
        <v>0</v>
      </c>
      <c r="AK5" s="66">
        <f>'Profit and Loss'!AJ54</f>
        <v>0</v>
      </c>
      <c r="AL5" s="66">
        <f>'Profit and Loss'!AK54</f>
        <v>0</v>
      </c>
    </row>
    <row r="6" spans="1:38">
      <c r="A6" s="68"/>
      <c r="B6" s="65" t="s">
        <v>180</v>
      </c>
      <c r="C6" s="66">
        <v>0</v>
      </c>
      <c r="D6" s="67">
        <f>-(('Profit and Loss'!C3+'Profit and Loss'!C4)*0.05-('Profit and Loss'!B3+'Profit and Loss'!B4)*0.05)</f>
        <v>0</v>
      </c>
      <c r="E6" s="67">
        <f>-(('Profit and Loss'!D3+'Profit and Loss'!D4)*0.05-('Profit and Loss'!C3+'Profit and Loss'!C4)*0.05)</f>
        <v>0</v>
      </c>
      <c r="F6" s="67">
        <f>-(('Profit and Loss'!E3+'Profit and Loss'!E4)*0.05-('Profit and Loss'!D3+'Profit and Loss'!D4)*0.05)</f>
        <v>0</v>
      </c>
      <c r="G6" s="67">
        <f>-(('Profit and Loss'!F3+'Profit and Loss'!F4)*0.05-('Profit and Loss'!E3+'Profit and Loss'!E4)*0.05)</f>
        <v>0</v>
      </c>
      <c r="H6" s="67">
        <f>-(('Profit and Loss'!G3+'Profit and Loss'!G4)*0.05-('Profit and Loss'!F3+'Profit and Loss'!F4)*0.05)</f>
        <v>0</v>
      </c>
      <c r="I6" s="67">
        <f>-(('Profit and Loss'!H3+'Profit and Loss'!H4)*0.05-('Profit and Loss'!G3+'Profit and Loss'!G4)*0.05)</f>
        <v>0</v>
      </c>
      <c r="J6" s="67">
        <f>-(('Profit and Loss'!I3+'Profit and Loss'!I4)*0.05-('Profit and Loss'!H3+'Profit and Loss'!H4)*0.05)</f>
        <v>-232.75</v>
      </c>
      <c r="K6" s="67">
        <f>-(('Profit and Loss'!J3+'Profit and Loss'!J4)*0.05-('Profit and Loss'!I3+'Profit and Loss'!I4)*0.05)</f>
        <v>-489.875</v>
      </c>
      <c r="L6" s="67">
        <f>-(('Profit and Loss'!K3+'Profit and Loss'!K4)*0.05-('Profit and Loss'!J3+'Profit and Loss'!J4)*0.05)</f>
        <v>-788.5</v>
      </c>
      <c r="M6" s="67">
        <f>-(('Profit and Loss'!L3+'Profit and Loss'!L4)*0.05-('Profit and Loss'!K3+'Profit and Loss'!K4)*0.05)</f>
        <v>441</v>
      </c>
      <c r="N6" s="67">
        <f>-(('Profit and Loss'!M3+'Profit and Loss'!M4)*0.05-('Profit and Loss'!L3+'Profit and Loss'!L4)*0.05)</f>
        <v>-553.5</v>
      </c>
      <c r="O6" s="67">
        <f>-(('Profit and Loss'!N3+'Profit and Loss'!N4)*0.05-('Profit and Loss'!M3+'Profit and Loss'!M4)*0.05)</f>
        <v>758.5</v>
      </c>
      <c r="P6" s="67">
        <f>-(('Profit and Loss'!O3+'Profit and Loss'!O4)*0.05-('Profit and Loss'!N3+'Profit and Loss'!N4)*0.05)</f>
        <v>-110</v>
      </c>
      <c r="Q6" s="67">
        <f>-(('Profit and Loss'!P3+'Profit and Loss'!P4)*0.05-('Profit and Loss'!O3+'Profit and Loss'!O4)*0.05)</f>
        <v>-100</v>
      </c>
      <c r="R6" s="67">
        <f>-(('Profit and Loss'!Q3+'Profit and Loss'!Q4)*0.05-('Profit and Loss'!P3+'Profit and Loss'!P4)*0.05)</f>
        <v>-107.5</v>
      </c>
      <c r="S6" s="67">
        <f>-(('Profit and Loss'!R3+'Profit and Loss'!R4)*0.05-('Profit and Loss'!Q3+'Profit and Loss'!Q4)*0.05)</f>
        <v>-171</v>
      </c>
      <c r="T6" s="67">
        <f>-(('Profit and Loss'!S3+'Profit and Loss'!S4)*0.05-('Profit and Loss'!R3+'Profit and Loss'!R4)*0.05)</f>
        <v>-210</v>
      </c>
      <c r="U6" s="67">
        <f>-(('Profit and Loss'!T3+'Profit and Loss'!T4)*0.05-('Profit and Loss'!S3+'Profit and Loss'!S4)*0.05)</f>
        <v>-52.5</v>
      </c>
      <c r="V6" s="67">
        <f>-(('Profit and Loss'!U3+'Profit and Loss'!U4)*0.05-('Profit and Loss'!T3+'Profit and Loss'!T4)*0.05)</f>
        <v>111.5</v>
      </c>
      <c r="W6" s="67">
        <f>-(('Profit and Loss'!V3+'Profit and Loss'!V4)*0.05-('Profit and Loss'!U3+'Profit and Loss'!U4)*0.05)</f>
        <v>265.4375</v>
      </c>
      <c r="X6" s="67">
        <f>-(('Profit and Loss'!W3+'Profit and Loss'!W4)*0.05-('Profit and Loss'!V3+'Profit and Loss'!V4)*0.05)</f>
        <v>-1018.75</v>
      </c>
      <c r="Y6" s="67">
        <f>-(('Profit and Loss'!X3+'Profit and Loss'!X4)*0.05-('Profit and Loss'!W3+'Profit and Loss'!W4)*0.05)</f>
        <v>-65.3125</v>
      </c>
      <c r="Z6" s="67">
        <f>-(('Profit and Loss'!Y3+'Profit and Loss'!Y4)*0.05-('Profit and Loss'!X3+'Profit and Loss'!X4)*0.05)</f>
        <v>-293.6875</v>
      </c>
      <c r="AA6" s="67">
        <f>-(('Profit and Loss'!Z3+'Profit and Loss'!Z4)*0.05-('Profit and Loss'!Y3+'Profit and Loss'!Y4)*0.05)</f>
        <v>1199.625</v>
      </c>
      <c r="AB6" s="67">
        <f>-(('Profit and Loss'!AA3+'Profit and Loss'!AA4)*0.05-('Profit and Loss'!Z3+'Profit and Loss'!Z4)*0.05)</f>
        <v>-926.3125</v>
      </c>
      <c r="AC6" s="67">
        <f>-(('Profit and Loss'!AB3+'Profit and Loss'!AB4)*0.05-('Profit and Loss'!AA3+'Profit and Loss'!AA4)*0.05)</f>
        <v>47.5</v>
      </c>
      <c r="AD6" s="67">
        <f>-(('Profit and Loss'!AC3+'Profit and Loss'!AC4)*0.05-('Profit and Loss'!AB3+'Profit and Loss'!AB4)*0.05)</f>
        <v>-324.1875</v>
      </c>
      <c r="AE6" s="67">
        <f>-(('Profit and Loss'!AD3+'Profit and Loss'!AD4)*0.05-('Profit and Loss'!AC3+'Profit and Loss'!AC4)*0.05)</f>
        <v>1428.625</v>
      </c>
      <c r="AF6" s="67">
        <f>-(('Profit and Loss'!AE3+'Profit and Loss'!AE4)*0.05-('Profit and Loss'!AD3+'Profit and Loss'!AD4)*0.05)</f>
        <v>-1008.5</v>
      </c>
      <c r="AG6" s="67">
        <f>-(('Profit and Loss'!AF3+'Profit and Loss'!AF4)*0.05-('Profit and Loss'!AE3+'Profit and Loss'!AE4)*0.05)</f>
        <v>588.5</v>
      </c>
      <c r="AH6" s="67">
        <f>-(('Profit and Loss'!AG3+'Profit and Loss'!AG4)*0.05-('Profit and Loss'!AF3+'Profit and Loss'!AF4)*0.05)</f>
        <v>-686.0625</v>
      </c>
      <c r="AI6" s="67">
        <f>-(('Profit and Loss'!AH3+'Profit and Loss'!AH4)*0.05-('Profit and Loss'!AG3+'Profit and Loss'!AG4)*0.05)</f>
        <v>-1757.3125</v>
      </c>
      <c r="AJ6" s="67">
        <f>-(('Profit and Loss'!AI3+'Profit and Loss'!AI4)*0.05-('Profit and Loss'!AH3+'Profit and Loss'!AH4)*0.05)</f>
        <v>912.6875</v>
      </c>
      <c r="AK6" s="67">
        <f>-(('Profit and Loss'!AJ3+'Profit and Loss'!AJ4)*0.05-('Profit and Loss'!AI3+'Profit and Loss'!AI4)*0.05)</f>
        <v>-77.5</v>
      </c>
      <c r="AL6" s="67">
        <f>-(('Profit and Loss'!AK3+'Profit and Loss'!AK4)*0.05-('Profit and Loss'!AJ3+'Profit and Loss'!AJ4)*0.05)</f>
        <v>-845.3125</v>
      </c>
    </row>
    <row r="7" spans="1:38" s="1" customFormat="1">
      <c r="A7" s="65"/>
      <c r="B7" s="65" t="s">
        <v>181</v>
      </c>
      <c r="C7" s="104">
        <v>0</v>
      </c>
      <c r="D7" s="105">
        <v>0</v>
      </c>
      <c r="E7" s="104">
        <v>0</v>
      </c>
      <c r="F7" s="104">
        <v>0</v>
      </c>
      <c r="G7" s="105">
        <v>0</v>
      </c>
      <c r="H7" s="104">
        <v>0</v>
      </c>
      <c r="I7" s="104">
        <f>-'Sales Forecast'!C3*'COGS and Revenue'!C11</f>
        <v>-2357.5</v>
      </c>
      <c r="J7" s="104">
        <f>-('Sales Forecast'!D48-'Sales Forecast'!C48)</f>
        <v>-3540.7750042666667</v>
      </c>
      <c r="K7" s="104">
        <f>-('Sales Forecast'!E48-'Sales Forecast'!D48)</f>
        <v>-2856.3250106666674</v>
      </c>
      <c r="L7" s="104">
        <f>-('Sales Forecast'!F48-'Sales Forecast'!E48)</f>
        <v>2004.8949893333338</v>
      </c>
      <c r="M7" s="104">
        <f>-('Sales Forecast'!G48-'Sales Forecast'!F48)</f>
        <v>-1003.0650106666671</v>
      </c>
      <c r="N7" s="104">
        <f>-('Sales Forecast'!H48-'Sales Forecast'!G48)</f>
        <v>330.34498933333271</v>
      </c>
      <c r="O7" s="104">
        <f>-('Sales Forecast'!I48-'Sales Forecast'!H48)</f>
        <v>-3490.5050106666677</v>
      </c>
      <c r="P7" s="104">
        <f>-('Sales Forecast'!J48-'Sales Forecast'!I48)</f>
        <v>-3523.0750106666674</v>
      </c>
      <c r="Q7" s="104">
        <f>-('Sales Forecast'!K48-'Sales Forecast'!J48)</f>
        <v>-3084.1450106666671</v>
      </c>
      <c r="R7" s="104">
        <f>-('Sales Forecast'!L48-'Sales Forecast'!K48)</f>
        <v>-3766.9250106666659</v>
      </c>
      <c r="S7" s="104">
        <f>-('Sales Forecast'!M48-'Sales Forecast'!L48)</f>
        <v>-710.19501066666635</v>
      </c>
      <c r="T7" s="104">
        <f>-('Sales Forecast'!N48-'Sales Forecast'!M48)</f>
        <v>-726.56501066666533</v>
      </c>
      <c r="U7" s="104">
        <f>-('Sales Forecast'!O48-'Sales Forecast'!N48)</f>
        <v>-1702.1350106666687</v>
      </c>
      <c r="V7" s="104">
        <f>-('Sales Forecast'!P48-'Sales Forecast'!O48)</f>
        <v>-1416.7650177777759</v>
      </c>
      <c r="W7" s="104">
        <f>-('Sales Forecast'!Q48-'Sales Forecast'!P48)</f>
        <v>-6340.9900195555529</v>
      </c>
      <c r="X7" s="104">
        <f>-('Sales Forecast'!R48-'Sales Forecast'!Q48)</f>
        <v>422.44998044444947</v>
      </c>
      <c r="Y7" s="104">
        <f>-('Sales Forecast'!S48-'Sales Forecast'!R48)</f>
        <v>587.24497866666934</v>
      </c>
      <c r="Z7" s="104">
        <f>-('Sales Forecast'!T48-'Sales Forecast'!S48)</f>
        <v>-2471.7300195555581</v>
      </c>
      <c r="AA7" s="104">
        <f>-('Sales Forecast'!U48-'Sales Forecast'!T48)</f>
        <v>-8921.7400231111096</v>
      </c>
      <c r="AB7" s="104">
        <f>-('Sales Forecast'!V48-'Sales Forecast'!U48)</f>
        <v>-3749.4150248888909</v>
      </c>
      <c r="AC7" s="104">
        <f>-('Sales Forecast'!W48-'Sales Forecast'!V48)</f>
        <v>-4513.5350248888863</v>
      </c>
      <c r="AD7" s="104">
        <f>-('Sales Forecast'!X48-'Sales Forecast'!W48)</f>
        <v>-6856.9500231111087</v>
      </c>
      <c r="AE7" s="104">
        <f>-('Sales Forecast'!Y48-'Sales Forecast'!X48)</f>
        <v>-14177.610019555555</v>
      </c>
      <c r="AF7" s="104">
        <f>-('Sales Forecast'!Z48-'Sales Forecast'!Y48)</f>
        <v>-9700.3900195555616</v>
      </c>
      <c r="AG7" s="104">
        <f>-('Sales Forecast'!AA48-'Sales Forecast'!Z48)</f>
        <v>-12178.040019555556</v>
      </c>
      <c r="AH7" s="104">
        <f>-('Sales Forecast'!AB48-'Sales Forecast'!AA48)</f>
        <v>-6501.6650213333342</v>
      </c>
      <c r="AI7" s="104">
        <f>-('Sales Forecast'!AC48-'Sales Forecast'!AB48)</f>
        <v>1239.8599768888962</v>
      </c>
      <c r="AJ7" s="104">
        <f>-('Sales Forecast'!AD48-'Sales Forecast'!AC48)</f>
        <v>-91.225024888888584</v>
      </c>
      <c r="AK7" s="104">
        <f>-('Sales Forecast'!AE48-'Sales Forecast'!AD48)</f>
        <v>-1684.6050248888932</v>
      </c>
      <c r="AL7" s="104">
        <f>-('Sales Forecast'!AF48-'Sales Forecast'!AE48)</f>
        <v>-1097.0800266666629</v>
      </c>
    </row>
    <row r="8" spans="1:38">
      <c r="A8" s="68"/>
      <c r="B8" s="65" t="s">
        <v>182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f>4480*0.7-H8</f>
        <v>3136</v>
      </c>
      <c r="J8" s="66">
        <f>4480*0.7-4480*0.7</f>
        <v>0</v>
      </c>
      <c r="K8" s="66">
        <f t="shared" ref="K8:P8" si="0">4480*0.7-4480*0.7</f>
        <v>0</v>
      </c>
      <c r="L8" s="66">
        <f t="shared" si="0"/>
        <v>0</v>
      </c>
      <c r="M8" s="66">
        <f t="shared" si="0"/>
        <v>0</v>
      </c>
      <c r="N8" s="66">
        <f t="shared" si="0"/>
        <v>0</v>
      </c>
      <c r="O8" s="66">
        <f t="shared" si="0"/>
        <v>0</v>
      </c>
      <c r="P8" s="66">
        <f t="shared" si="0"/>
        <v>0</v>
      </c>
      <c r="Q8" s="66">
        <f>6656*0.7-4480*0.7</f>
        <v>1523.1999999999998</v>
      </c>
      <c r="R8" s="66">
        <f>6656*0.7-6656*0.7</f>
        <v>0</v>
      </c>
      <c r="S8" s="66">
        <f>6656*0.7-6656*0.7</f>
        <v>0</v>
      </c>
      <c r="T8" s="66">
        <f>6656*0.7-6656*0.7</f>
        <v>0</v>
      </c>
      <c r="U8" s="66">
        <f>8960*0.7-6656*0.7</f>
        <v>1612.8000000000002</v>
      </c>
      <c r="V8" s="66">
        <f>5460*0.7-8960*0.7</f>
        <v>-2450.0000000000005</v>
      </c>
      <c r="W8" s="66">
        <f>5460*0.7-5460*0.7</f>
        <v>0</v>
      </c>
      <c r="X8" s="66">
        <f t="shared" ref="X8:AL8" si="1">5460*0.7-5460*0.7</f>
        <v>0</v>
      </c>
      <c r="Y8" s="66">
        <f t="shared" si="1"/>
        <v>0</v>
      </c>
      <c r="Z8" s="66">
        <f t="shared" si="1"/>
        <v>0</v>
      </c>
      <c r="AA8" s="66">
        <f t="shared" si="1"/>
        <v>0</v>
      </c>
      <c r="AB8" s="66">
        <f t="shared" si="1"/>
        <v>0</v>
      </c>
      <c r="AC8" s="66">
        <f t="shared" si="1"/>
        <v>0</v>
      </c>
      <c r="AD8" s="66">
        <f t="shared" si="1"/>
        <v>0</v>
      </c>
      <c r="AE8" s="66">
        <f t="shared" si="1"/>
        <v>0</v>
      </c>
      <c r="AF8" s="66">
        <f t="shared" si="1"/>
        <v>0</v>
      </c>
      <c r="AG8" s="66">
        <f t="shared" si="1"/>
        <v>0</v>
      </c>
      <c r="AH8" s="66">
        <f t="shared" si="1"/>
        <v>0</v>
      </c>
      <c r="AI8" s="66">
        <f t="shared" si="1"/>
        <v>0</v>
      </c>
      <c r="AJ8" s="66">
        <f t="shared" si="1"/>
        <v>0</v>
      </c>
      <c r="AK8" s="66">
        <f t="shared" si="1"/>
        <v>0</v>
      </c>
      <c r="AL8" s="66">
        <f t="shared" si="1"/>
        <v>0</v>
      </c>
    </row>
    <row r="9" spans="1:38" ht="33" customHeight="1">
      <c r="A9" s="114" t="s">
        <v>85</v>
      </c>
      <c r="B9" s="114"/>
      <c r="C9" s="66">
        <f t="shared" ref="C9:AL9" si="2">SUM(C3:C8)</f>
        <v>-9064.09</v>
      </c>
      <c r="D9" s="67">
        <f t="shared" si="2"/>
        <v>-7469.09</v>
      </c>
      <c r="E9" s="66">
        <f t="shared" si="2"/>
        <v>-7469.09</v>
      </c>
      <c r="F9" s="66">
        <f t="shared" si="2"/>
        <v>-7469.09</v>
      </c>
      <c r="G9" s="67">
        <f t="shared" si="2"/>
        <v>-10719.09</v>
      </c>
      <c r="H9" s="66">
        <f t="shared" si="2"/>
        <v>-11719.09</v>
      </c>
      <c r="I9" s="66">
        <f t="shared" si="2"/>
        <v>-20407.009999999998</v>
      </c>
      <c r="J9" s="67">
        <f t="shared" si="2"/>
        <v>-19263.435000000005</v>
      </c>
      <c r="K9" s="66">
        <f t="shared" si="2"/>
        <v>-12706.740000000003</v>
      </c>
      <c r="L9" s="66">
        <f t="shared" si="2"/>
        <v>5322.5049999999937</v>
      </c>
      <c r="M9" s="67">
        <f t="shared" si="2"/>
        <v>-3222.4050000000025</v>
      </c>
      <c r="N9" s="66">
        <f t="shared" si="2"/>
        <v>4982.654999999997</v>
      </c>
      <c r="O9" s="66">
        <f t="shared" si="2"/>
        <v>-9650.9950000000044</v>
      </c>
      <c r="P9" s="67">
        <f t="shared" si="2"/>
        <v>-10340.215000000006</v>
      </c>
      <c r="Q9" s="66">
        <f t="shared" si="2"/>
        <v>-6951.185000000004</v>
      </c>
      <c r="R9" s="66">
        <f t="shared" si="2"/>
        <v>-6592.2650000000031</v>
      </c>
      <c r="S9" s="67">
        <f t="shared" si="2"/>
        <v>-4224.9850000000042</v>
      </c>
      <c r="T9" s="66">
        <f t="shared" si="2"/>
        <v>-598.05500000000393</v>
      </c>
      <c r="U9" s="66">
        <f t="shared" si="2"/>
        <v>-4173.6750000000056</v>
      </c>
      <c r="V9" s="67">
        <f t="shared" si="2"/>
        <v>-1689.7349999999974</v>
      </c>
      <c r="W9" s="66">
        <f t="shared" si="2"/>
        <v>-8870.6974999999984</v>
      </c>
      <c r="X9" s="66">
        <f t="shared" si="2"/>
        <v>14811.255000000005</v>
      </c>
      <c r="Y9" s="67">
        <f t="shared" si="2"/>
        <v>17447.762500000004</v>
      </c>
      <c r="Z9" s="66">
        <f t="shared" si="2"/>
        <v>20238.737499999996</v>
      </c>
      <c r="AA9" s="66">
        <f t="shared" si="2"/>
        <v>-6413.5599999999977</v>
      </c>
      <c r="AB9" s="67">
        <f t="shared" si="2"/>
        <v>11756.552499999998</v>
      </c>
      <c r="AC9" s="66">
        <f t="shared" si="2"/>
        <v>10171.695000000003</v>
      </c>
      <c r="AD9" s="66">
        <f t="shared" si="2"/>
        <v>12220.317500000005</v>
      </c>
      <c r="AE9" s="67">
        <f t="shared" si="2"/>
        <v>-21441.13</v>
      </c>
      <c r="AF9" s="66">
        <f t="shared" si="2"/>
        <v>-2017.9350000000049</v>
      </c>
      <c r="AG9" s="66">
        <f t="shared" si="2"/>
        <v>-12405.285</v>
      </c>
      <c r="AH9" s="67">
        <f t="shared" si="2"/>
        <v>5602.9524999999994</v>
      </c>
      <c r="AI9" s="66">
        <f t="shared" si="2"/>
        <v>38788.152500000011</v>
      </c>
      <c r="AJ9" s="66">
        <f t="shared" si="2"/>
        <v>24023.542499999996</v>
      </c>
      <c r="AK9" s="67">
        <f t="shared" si="2"/>
        <v>22652.674999999996</v>
      </c>
      <c r="AL9" s="66">
        <f t="shared" si="2"/>
        <v>38765.712500000009</v>
      </c>
    </row>
    <row r="10" spans="1:38">
      <c r="A10" s="68"/>
      <c r="B10" s="68"/>
      <c r="C10" s="66"/>
      <c r="D10" s="67"/>
      <c r="E10" s="66"/>
      <c r="F10" s="66"/>
      <c r="G10" s="67"/>
      <c r="H10" s="66"/>
      <c r="I10" s="66"/>
      <c r="J10" s="67"/>
      <c r="K10" s="66"/>
      <c r="L10" s="66"/>
      <c r="M10" s="67"/>
      <c r="N10" s="66"/>
      <c r="O10" s="66"/>
      <c r="P10" s="67"/>
      <c r="Q10" s="66"/>
      <c r="R10" s="66"/>
      <c r="S10" s="67"/>
      <c r="T10" s="66"/>
      <c r="U10" s="66"/>
      <c r="V10" s="67"/>
      <c r="W10" s="66"/>
      <c r="X10" s="66"/>
      <c r="Y10" s="67"/>
      <c r="Z10" s="66"/>
      <c r="AA10" s="66"/>
      <c r="AB10" s="67"/>
      <c r="AC10" s="66"/>
      <c r="AD10" s="66"/>
      <c r="AE10" s="67"/>
      <c r="AF10" s="66"/>
      <c r="AG10" s="66"/>
      <c r="AH10" s="67"/>
      <c r="AI10" s="66"/>
      <c r="AJ10" s="66"/>
      <c r="AK10" s="67"/>
      <c r="AL10" s="66"/>
    </row>
    <row r="11" spans="1:38" ht="15">
      <c r="A11" s="75" t="s">
        <v>83</v>
      </c>
      <c r="B11" s="68"/>
      <c r="C11" s="66"/>
      <c r="D11" s="67"/>
      <c r="E11" s="66"/>
      <c r="F11" s="66"/>
      <c r="G11" s="67"/>
      <c r="H11" s="66"/>
      <c r="I11" s="66"/>
      <c r="J11" s="67"/>
      <c r="K11" s="66"/>
      <c r="L11" s="66"/>
      <c r="M11" s="67"/>
      <c r="N11" s="66"/>
      <c r="O11" s="66"/>
      <c r="P11" s="67"/>
      <c r="Q11" s="66"/>
      <c r="R11" s="66"/>
      <c r="S11" s="67"/>
      <c r="T11" s="66"/>
      <c r="U11" s="66"/>
      <c r="V11" s="67"/>
      <c r="W11" s="66"/>
      <c r="X11" s="66"/>
      <c r="Y11" s="67"/>
      <c r="Z11" s="66"/>
      <c r="AA11" s="66"/>
      <c r="AB11" s="67"/>
      <c r="AC11" s="66"/>
      <c r="AD11" s="66"/>
      <c r="AE11" s="67"/>
      <c r="AF11" s="66"/>
      <c r="AG11" s="66"/>
      <c r="AH11" s="67"/>
      <c r="AI11" s="66"/>
      <c r="AJ11" s="66"/>
      <c r="AK11" s="67"/>
      <c r="AL11" s="66"/>
    </row>
    <row r="12" spans="1:38">
      <c r="A12" s="68"/>
      <c r="B12" s="68" t="s">
        <v>183</v>
      </c>
      <c r="C12" s="66">
        <f>-'Balance Sheet'!B12</f>
        <v>-218550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f>-'Start Up Funds and Fixed Assets'!G86*0.5</f>
        <v>0</v>
      </c>
      <c r="P12" s="66">
        <v>0</v>
      </c>
      <c r="Q12" s="66">
        <v>0</v>
      </c>
      <c r="R12" s="66">
        <v>0</v>
      </c>
      <c r="S12" s="66">
        <f>-'Start Up Funds and Fixed Assets'!G86*0.5</f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</row>
    <row r="13" spans="1:38" ht="32.1" customHeight="1">
      <c r="A13" s="115" t="s">
        <v>86</v>
      </c>
      <c r="B13" s="116"/>
      <c r="C13" s="66">
        <f t="shared" ref="C13:AL13" si="3">SUM(C12)</f>
        <v>-218550</v>
      </c>
      <c r="D13" s="67">
        <f t="shared" si="3"/>
        <v>0</v>
      </c>
      <c r="E13" s="66">
        <f t="shared" si="3"/>
        <v>0</v>
      </c>
      <c r="F13" s="66">
        <f t="shared" si="3"/>
        <v>0</v>
      </c>
      <c r="G13" s="67">
        <f t="shared" si="3"/>
        <v>0</v>
      </c>
      <c r="H13" s="66">
        <f t="shared" si="3"/>
        <v>0</v>
      </c>
      <c r="I13" s="66">
        <f t="shared" si="3"/>
        <v>0</v>
      </c>
      <c r="J13" s="67">
        <f t="shared" si="3"/>
        <v>0</v>
      </c>
      <c r="K13" s="66">
        <f t="shared" si="3"/>
        <v>0</v>
      </c>
      <c r="L13" s="66">
        <f t="shared" si="3"/>
        <v>0</v>
      </c>
      <c r="M13" s="67">
        <f t="shared" si="3"/>
        <v>0</v>
      </c>
      <c r="N13" s="66">
        <f t="shared" si="3"/>
        <v>0</v>
      </c>
      <c r="O13" s="66">
        <f t="shared" si="3"/>
        <v>0</v>
      </c>
      <c r="P13" s="67">
        <f t="shared" si="3"/>
        <v>0</v>
      </c>
      <c r="Q13" s="66">
        <f t="shared" si="3"/>
        <v>0</v>
      </c>
      <c r="R13" s="66">
        <f t="shared" si="3"/>
        <v>0</v>
      </c>
      <c r="S13" s="67">
        <f t="shared" si="3"/>
        <v>0</v>
      </c>
      <c r="T13" s="66">
        <f t="shared" si="3"/>
        <v>0</v>
      </c>
      <c r="U13" s="66">
        <f t="shared" si="3"/>
        <v>0</v>
      </c>
      <c r="V13" s="67">
        <f t="shared" si="3"/>
        <v>0</v>
      </c>
      <c r="W13" s="66">
        <f t="shared" si="3"/>
        <v>0</v>
      </c>
      <c r="X13" s="66">
        <f t="shared" si="3"/>
        <v>0</v>
      </c>
      <c r="Y13" s="67">
        <f t="shared" si="3"/>
        <v>0</v>
      </c>
      <c r="Z13" s="66">
        <f t="shared" si="3"/>
        <v>0</v>
      </c>
      <c r="AA13" s="66">
        <f t="shared" si="3"/>
        <v>0</v>
      </c>
      <c r="AB13" s="67">
        <f t="shared" si="3"/>
        <v>0</v>
      </c>
      <c r="AC13" s="66">
        <f t="shared" si="3"/>
        <v>0</v>
      </c>
      <c r="AD13" s="66">
        <f t="shared" si="3"/>
        <v>0</v>
      </c>
      <c r="AE13" s="67">
        <f t="shared" si="3"/>
        <v>0</v>
      </c>
      <c r="AF13" s="66">
        <f t="shared" si="3"/>
        <v>0</v>
      </c>
      <c r="AG13" s="66">
        <f t="shared" si="3"/>
        <v>0</v>
      </c>
      <c r="AH13" s="67">
        <f t="shared" si="3"/>
        <v>0</v>
      </c>
      <c r="AI13" s="66">
        <f t="shared" si="3"/>
        <v>0</v>
      </c>
      <c r="AJ13" s="66">
        <f t="shared" si="3"/>
        <v>0</v>
      </c>
      <c r="AK13" s="67">
        <f t="shared" si="3"/>
        <v>0</v>
      </c>
      <c r="AL13" s="66">
        <f t="shared" si="3"/>
        <v>0</v>
      </c>
    </row>
    <row r="14" spans="1:38">
      <c r="A14" s="68"/>
      <c r="B14" s="68"/>
      <c r="C14" s="66"/>
      <c r="D14" s="67"/>
      <c r="E14" s="66"/>
      <c r="F14" s="66"/>
      <c r="G14" s="67"/>
      <c r="H14" s="66"/>
      <c r="I14" s="66"/>
      <c r="J14" s="67"/>
      <c r="K14" s="66"/>
      <c r="L14" s="66"/>
      <c r="M14" s="67"/>
      <c r="N14" s="66"/>
      <c r="O14" s="66"/>
      <c r="P14" s="67"/>
      <c r="Q14" s="66"/>
      <c r="R14" s="66"/>
      <c r="S14" s="67"/>
      <c r="T14" s="66"/>
      <c r="U14" s="66"/>
      <c r="V14" s="67"/>
      <c r="W14" s="66"/>
      <c r="X14" s="66"/>
      <c r="Y14" s="67"/>
      <c r="Z14" s="66"/>
      <c r="AA14" s="66"/>
      <c r="AB14" s="67"/>
      <c r="AC14" s="66"/>
      <c r="AD14" s="66"/>
      <c r="AE14" s="67"/>
      <c r="AF14" s="66"/>
      <c r="AG14" s="66"/>
      <c r="AH14" s="67"/>
      <c r="AI14" s="66"/>
      <c r="AJ14" s="66"/>
      <c r="AK14" s="67"/>
      <c r="AL14" s="66"/>
    </row>
    <row r="15" spans="1:38" ht="15">
      <c r="A15" s="75" t="s">
        <v>84</v>
      </c>
      <c r="B15" s="68"/>
      <c r="C15" s="66"/>
      <c r="D15" s="67"/>
      <c r="E15" s="66"/>
      <c r="F15" s="66"/>
      <c r="G15" s="67"/>
      <c r="H15" s="66"/>
      <c r="I15" s="66"/>
      <c r="J15" s="67"/>
      <c r="K15" s="66"/>
      <c r="L15" s="66"/>
      <c r="M15" s="67"/>
      <c r="N15" s="66"/>
      <c r="O15" s="66"/>
      <c r="P15" s="67"/>
      <c r="Q15" s="66"/>
      <c r="R15" s="66"/>
      <c r="S15" s="67"/>
      <c r="T15" s="66"/>
      <c r="U15" s="66"/>
      <c r="V15" s="67"/>
      <c r="W15" s="66"/>
      <c r="X15" s="66"/>
      <c r="Y15" s="67"/>
      <c r="Z15" s="66"/>
      <c r="AA15" s="66"/>
      <c r="AB15" s="67"/>
      <c r="AC15" s="66"/>
      <c r="AD15" s="66"/>
      <c r="AE15" s="67"/>
      <c r="AF15" s="66"/>
      <c r="AG15" s="66"/>
      <c r="AH15" s="67"/>
      <c r="AI15" s="66"/>
      <c r="AJ15" s="66"/>
      <c r="AK15" s="67"/>
      <c r="AL15" s="66"/>
    </row>
    <row r="16" spans="1:38" ht="25.5">
      <c r="A16" s="68"/>
      <c r="B16" s="69" t="s">
        <v>184</v>
      </c>
      <c r="C16" s="66">
        <v>240000</v>
      </c>
      <c r="D16" s="67">
        <v>0</v>
      </c>
      <c r="E16" s="66">
        <v>0</v>
      </c>
      <c r="F16" s="66">
        <v>0</v>
      </c>
      <c r="G16" s="67">
        <v>0</v>
      </c>
      <c r="H16" s="66">
        <v>0</v>
      </c>
      <c r="I16" s="66">
        <v>0</v>
      </c>
      <c r="J16" s="67">
        <v>0</v>
      </c>
      <c r="K16" s="66">
        <v>0</v>
      </c>
      <c r="L16" s="66">
        <v>0</v>
      </c>
      <c r="M16" s="67">
        <v>0</v>
      </c>
      <c r="N16" s="66">
        <v>0</v>
      </c>
      <c r="O16" s="66">
        <v>0</v>
      </c>
      <c r="P16" s="67">
        <v>0</v>
      </c>
      <c r="Q16" s="66">
        <v>0</v>
      </c>
      <c r="R16" s="66">
        <v>0</v>
      </c>
      <c r="S16" s="67">
        <v>0</v>
      </c>
      <c r="T16" s="66">
        <v>0</v>
      </c>
      <c r="U16" s="66">
        <v>0</v>
      </c>
      <c r="V16" s="67">
        <v>0</v>
      </c>
      <c r="W16" s="66">
        <v>0</v>
      </c>
      <c r="X16" s="66">
        <v>0</v>
      </c>
      <c r="Y16" s="67">
        <v>0</v>
      </c>
      <c r="Z16" s="66">
        <v>0</v>
      </c>
      <c r="AA16" s="66">
        <v>0</v>
      </c>
      <c r="AB16" s="67">
        <v>0</v>
      </c>
      <c r="AC16" s="66">
        <v>0</v>
      </c>
      <c r="AD16" s="66">
        <v>0</v>
      </c>
      <c r="AE16" s="67">
        <v>0</v>
      </c>
      <c r="AF16" s="66">
        <v>0</v>
      </c>
      <c r="AG16" s="66">
        <v>0</v>
      </c>
      <c r="AH16" s="67">
        <v>0</v>
      </c>
      <c r="AI16" s="66">
        <v>0</v>
      </c>
      <c r="AJ16" s="66">
        <v>0</v>
      </c>
      <c r="AK16" s="67">
        <v>0</v>
      </c>
      <c r="AL16" s="66">
        <v>0</v>
      </c>
    </row>
    <row r="17" spans="1:38" ht="25.5">
      <c r="A17" s="68"/>
      <c r="B17" s="69" t="s">
        <v>185</v>
      </c>
      <c r="C17" s="66">
        <f>160000+1000</f>
        <v>161000</v>
      </c>
      <c r="D17" s="67">
        <v>1000</v>
      </c>
      <c r="E17" s="67">
        <v>1000</v>
      </c>
      <c r="F17" s="67">
        <v>1000</v>
      </c>
      <c r="G17" s="67">
        <v>1000</v>
      </c>
      <c r="H17" s="67">
        <v>1000</v>
      </c>
      <c r="I17" s="67">
        <v>1000</v>
      </c>
      <c r="J17" s="67">
        <v>1000</v>
      </c>
      <c r="K17" s="67">
        <v>1000</v>
      </c>
      <c r="L17" s="67">
        <v>1000</v>
      </c>
      <c r="M17" s="67">
        <v>1000</v>
      </c>
      <c r="N17" s="67">
        <v>1000</v>
      </c>
      <c r="O17" s="66">
        <f>'[1]2013-2015 Balance Sheet '!N28+'[1]2013-2015 Balance Sheet '!N24</f>
        <v>0</v>
      </c>
      <c r="P17" s="67">
        <v>0</v>
      </c>
      <c r="Q17" s="66">
        <v>0</v>
      </c>
      <c r="R17" s="66">
        <f>'[1]2013-2015 Balance Sheet '!Q28+'[1]2013-2015 Balance Sheet '!Q24</f>
        <v>0</v>
      </c>
      <c r="S17" s="67">
        <v>0</v>
      </c>
      <c r="T17" s="66">
        <v>0</v>
      </c>
      <c r="U17" s="66">
        <f>'[1]2013-2015 Balance Sheet '!T28+'[1]2013-2015 Balance Sheet '!T24</f>
        <v>0</v>
      </c>
      <c r="V17" s="67">
        <v>0</v>
      </c>
      <c r="W17" s="66">
        <v>0</v>
      </c>
      <c r="X17" s="66">
        <f>'[1]2013-2015 Balance Sheet '!W28+'[1]2013-2015 Balance Sheet '!W24</f>
        <v>0</v>
      </c>
      <c r="Y17" s="67">
        <v>0</v>
      </c>
      <c r="Z17" s="66">
        <v>0</v>
      </c>
      <c r="AA17" s="66">
        <f>'[1]2013-2015 Balance Sheet '!Z28+'[1]2013-2015 Balance Sheet '!Z24</f>
        <v>0</v>
      </c>
      <c r="AB17" s="67">
        <v>0</v>
      </c>
      <c r="AC17" s="66">
        <v>0</v>
      </c>
      <c r="AD17" s="66">
        <f>'[1]2013-2015 Balance Sheet '!AC28+'[1]2013-2015 Balance Sheet '!AC24</f>
        <v>0</v>
      </c>
      <c r="AE17" s="67">
        <v>0</v>
      </c>
      <c r="AF17" s="66">
        <v>0</v>
      </c>
      <c r="AG17" s="66">
        <f>'[1]2013-2015 Balance Sheet '!AF28+'[1]2013-2015 Balance Sheet '!AF24</f>
        <v>0</v>
      </c>
      <c r="AH17" s="67">
        <v>0</v>
      </c>
      <c r="AI17" s="66">
        <v>0</v>
      </c>
      <c r="AJ17" s="66">
        <f>'[1]2013-2015 Balance Sheet '!AI28+'[1]2013-2015 Balance Sheet '!AI24</f>
        <v>0</v>
      </c>
      <c r="AK17" s="67">
        <v>0</v>
      </c>
      <c r="AL17" s="66">
        <v>0</v>
      </c>
    </row>
    <row r="18" spans="1:38">
      <c r="A18" s="68"/>
      <c r="B18" s="65" t="s">
        <v>186</v>
      </c>
      <c r="C18" s="66">
        <v>0</v>
      </c>
      <c r="D18" s="67">
        <v>0</v>
      </c>
      <c r="E18" s="66">
        <v>0</v>
      </c>
      <c r="F18" s="66">
        <v>0</v>
      </c>
      <c r="G18" s="67">
        <v>0</v>
      </c>
      <c r="H18" s="66">
        <v>0</v>
      </c>
      <c r="I18" s="66">
        <v>0</v>
      </c>
      <c r="J18" s="67">
        <v>0</v>
      </c>
      <c r="K18" s="66">
        <v>0</v>
      </c>
      <c r="L18" s="66">
        <v>0</v>
      </c>
      <c r="M18" s="67">
        <v>0</v>
      </c>
      <c r="N18" s="66">
        <v>0</v>
      </c>
      <c r="O18" s="66">
        <v>0</v>
      </c>
      <c r="P18" s="67">
        <v>0</v>
      </c>
      <c r="Q18" s="66">
        <v>0</v>
      </c>
      <c r="R18" s="66">
        <v>0</v>
      </c>
      <c r="S18" s="67">
        <v>0</v>
      </c>
      <c r="T18" s="66">
        <v>0</v>
      </c>
      <c r="U18" s="66">
        <v>0</v>
      </c>
      <c r="V18" s="67">
        <v>0</v>
      </c>
      <c r="W18" s="66">
        <v>0</v>
      </c>
      <c r="X18" s="66">
        <v>0</v>
      </c>
      <c r="Y18" s="67">
        <v>0</v>
      </c>
      <c r="Z18" s="66">
        <v>0</v>
      </c>
      <c r="AA18" s="66">
        <v>0</v>
      </c>
      <c r="AB18" s="67">
        <v>0</v>
      </c>
      <c r="AC18" s="66">
        <v>0</v>
      </c>
      <c r="AD18" s="66">
        <v>0</v>
      </c>
      <c r="AE18" s="67">
        <v>0</v>
      </c>
      <c r="AF18" s="66">
        <v>0</v>
      </c>
      <c r="AG18" s="66">
        <v>0</v>
      </c>
      <c r="AH18" s="67">
        <v>0</v>
      </c>
      <c r="AI18" s="66">
        <v>0</v>
      </c>
      <c r="AJ18" s="66">
        <v>0</v>
      </c>
      <c r="AK18" s="67">
        <v>0</v>
      </c>
      <c r="AL18" s="66">
        <v>0</v>
      </c>
    </row>
    <row r="19" spans="1:38" ht="33" customHeight="1">
      <c r="A19" s="115" t="s">
        <v>187</v>
      </c>
      <c r="B19" s="116"/>
      <c r="C19" s="66">
        <f t="shared" ref="C19:AL19" si="4">SUM(C16:C18)</f>
        <v>401000</v>
      </c>
      <c r="D19" s="67">
        <f t="shared" si="4"/>
        <v>1000</v>
      </c>
      <c r="E19" s="68">
        <f t="shared" si="4"/>
        <v>1000</v>
      </c>
      <c r="F19" s="66">
        <f t="shared" si="4"/>
        <v>1000</v>
      </c>
      <c r="G19" s="67">
        <f t="shared" si="4"/>
        <v>1000</v>
      </c>
      <c r="H19" s="68">
        <f t="shared" si="4"/>
        <v>1000</v>
      </c>
      <c r="I19" s="66">
        <f t="shared" si="4"/>
        <v>1000</v>
      </c>
      <c r="J19" s="67">
        <f t="shared" si="4"/>
        <v>1000</v>
      </c>
      <c r="K19" s="68">
        <f t="shared" si="4"/>
        <v>1000</v>
      </c>
      <c r="L19" s="66">
        <f t="shared" si="4"/>
        <v>1000</v>
      </c>
      <c r="M19" s="67">
        <f t="shared" si="4"/>
        <v>1000</v>
      </c>
      <c r="N19" s="68">
        <f t="shared" si="4"/>
        <v>1000</v>
      </c>
      <c r="O19" s="66">
        <f t="shared" si="4"/>
        <v>0</v>
      </c>
      <c r="P19" s="67">
        <f t="shared" si="4"/>
        <v>0</v>
      </c>
      <c r="Q19" s="68">
        <f t="shared" si="4"/>
        <v>0</v>
      </c>
      <c r="R19" s="66">
        <f t="shared" si="4"/>
        <v>0</v>
      </c>
      <c r="S19" s="67">
        <f t="shared" si="4"/>
        <v>0</v>
      </c>
      <c r="T19" s="68">
        <f t="shared" si="4"/>
        <v>0</v>
      </c>
      <c r="U19" s="66">
        <f t="shared" si="4"/>
        <v>0</v>
      </c>
      <c r="V19" s="67">
        <f t="shared" si="4"/>
        <v>0</v>
      </c>
      <c r="W19" s="68">
        <f t="shared" si="4"/>
        <v>0</v>
      </c>
      <c r="X19" s="66">
        <f t="shared" si="4"/>
        <v>0</v>
      </c>
      <c r="Y19" s="67">
        <f t="shared" si="4"/>
        <v>0</v>
      </c>
      <c r="Z19" s="68">
        <f t="shared" si="4"/>
        <v>0</v>
      </c>
      <c r="AA19" s="66">
        <f t="shared" si="4"/>
        <v>0</v>
      </c>
      <c r="AB19" s="67">
        <f t="shared" si="4"/>
        <v>0</v>
      </c>
      <c r="AC19" s="68">
        <f t="shared" si="4"/>
        <v>0</v>
      </c>
      <c r="AD19" s="66">
        <f t="shared" si="4"/>
        <v>0</v>
      </c>
      <c r="AE19" s="67">
        <f t="shared" si="4"/>
        <v>0</v>
      </c>
      <c r="AF19" s="68">
        <f t="shared" si="4"/>
        <v>0</v>
      </c>
      <c r="AG19" s="66">
        <f t="shared" si="4"/>
        <v>0</v>
      </c>
      <c r="AH19" s="67">
        <f t="shared" si="4"/>
        <v>0</v>
      </c>
      <c r="AI19" s="68">
        <f t="shared" si="4"/>
        <v>0</v>
      </c>
      <c r="AJ19" s="66">
        <f t="shared" si="4"/>
        <v>0</v>
      </c>
      <c r="AK19" s="67">
        <f t="shared" si="4"/>
        <v>0</v>
      </c>
      <c r="AL19" s="68">
        <f t="shared" si="4"/>
        <v>0</v>
      </c>
    </row>
    <row r="20" spans="1:38">
      <c r="A20" s="68"/>
      <c r="B20" s="68"/>
      <c r="C20" s="66"/>
      <c r="D20" s="67"/>
      <c r="E20" s="66"/>
      <c r="F20" s="66"/>
      <c r="G20" s="67"/>
      <c r="H20" s="66"/>
      <c r="I20" s="66"/>
      <c r="J20" s="67"/>
      <c r="K20" s="66"/>
      <c r="L20" s="66"/>
      <c r="M20" s="67"/>
      <c r="N20" s="66"/>
      <c r="O20" s="66"/>
      <c r="P20" s="67"/>
      <c r="Q20" s="66"/>
      <c r="R20" s="66"/>
      <c r="S20" s="67"/>
      <c r="T20" s="66"/>
      <c r="U20" s="66"/>
      <c r="V20" s="67"/>
      <c r="W20" s="66"/>
      <c r="X20" s="66"/>
      <c r="Y20" s="67"/>
      <c r="Z20" s="66"/>
      <c r="AA20" s="66"/>
      <c r="AB20" s="67"/>
      <c r="AC20" s="66"/>
      <c r="AD20" s="66"/>
      <c r="AE20" s="67"/>
      <c r="AF20" s="66"/>
      <c r="AG20" s="66"/>
      <c r="AH20" s="67"/>
      <c r="AI20" s="66"/>
      <c r="AJ20" s="66"/>
      <c r="AK20" s="67"/>
      <c r="AL20" s="66"/>
    </row>
    <row r="21" spans="1:38" ht="15">
      <c r="A21" s="70" t="s">
        <v>188</v>
      </c>
      <c r="B21" s="68"/>
      <c r="C21" s="71">
        <f t="shared" ref="C21:AL21" si="5">C19+C13+C9</f>
        <v>173385.91</v>
      </c>
      <c r="D21" s="72">
        <f t="shared" si="5"/>
        <v>-6469.09</v>
      </c>
      <c r="E21" s="71">
        <f t="shared" si="5"/>
        <v>-6469.09</v>
      </c>
      <c r="F21" s="71">
        <f t="shared" si="5"/>
        <v>-6469.09</v>
      </c>
      <c r="G21" s="72">
        <f t="shared" si="5"/>
        <v>-9719.09</v>
      </c>
      <c r="H21" s="71">
        <f t="shared" si="5"/>
        <v>-10719.09</v>
      </c>
      <c r="I21" s="71">
        <f t="shared" si="5"/>
        <v>-19407.009999999998</v>
      </c>
      <c r="J21" s="72">
        <f t="shared" si="5"/>
        <v>-18263.435000000005</v>
      </c>
      <c r="K21" s="71">
        <f t="shared" si="5"/>
        <v>-11706.740000000003</v>
      </c>
      <c r="L21" s="71">
        <f t="shared" si="5"/>
        <v>6322.5049999999937</v>
      </c>
      <c r="M21" s="72">
        <f t="shared" si="5"/>
        <v>-2222.4050000000025</v>
      </c>
      <c r="N21" s="71">
        <f t="shared" si="5"/>
        <v>5982.654999999997</v>
      </c>
      <c r="O21" s="71">
        <f t="shared" si="5"/>
        <v>-9650.9950000000044</v>
      </c>
      <c r="P21" s="72">
        <f t="shared" si="5"/>
        <v>-10340.215000000006</v>
      </c>
      <c r="Q21" s="71">
        <f t="shared" si="5"/>
        <v>-6951.185000000004</v>
      </c>
      <c r="R21" s="71">
        <f t="shared" si="5"/>
        <v>-6592.2650000000031</v>
      </c>
      <c r="S21" s="72">
        <f t="shared" si="5"/>
        <v>-4224.9850000000042</v>
      </c>
      <c r="T21" s="71">
        <f t="shared" si="5"/>
        <v>-598.05500000000393</v>
      </c>
      <c r="U21" s="71">
        <f t="shared" si="5"/>
        <v>-4173.6750000000056</v>
      </c>
      <c r="V21" s="72">
        <f t="shared" si="5"/>
        <v>-1689.7349999999974</v>
      </c>
      <c r="W21" s="71">
        <f t="shared" si="5"/>
        <v>-8870.6974999999984</v>
      </c>
      <c r="X21" s="71">
        <f t="shared" si="5"/>
        <v>14811.255000000005</v>
      </c>
      <c r="Y21" s="72">
        <f t="shared" si="5"/>
        <v>17447.762500000004</v>
      </c>
      <c r="Z21" s="71">
        <f t="shared" si="5"/>
        <v>20238.737499999996</v>
      </c>
      <c r="AA21" s="71">
        <f t="shared" si="5"/>
        <v>-6413.5599999999977</v>
      </c>
      <c r="AB21" s="72">
        <f t="shared" si="5"/>
        <v>11756.552499999998</v>
      </c>
      <c r="AC21" s="71">
        <f t="shared" si="5"/>
        <v>10171.695000000003</v>
      </c>
      <c r="AD21" s="71">
        <f t="shared" si="5"/>
        <v>12220.317500000005</v>
      </c>
      <c r="AE21" s="72">
        <f t="shared" si="5"/>
        <v>-21441.13</v>
      </c>
      <c r="AF21" s="71">
        <f t="shared" si="5"/>
        <v>-2017.9350000000049</v>
      </c>
      <c r="AG21" s="71">
        <f t="shared" si="5"/>
        <v>-12405.285</v>
      </c>
      <c r="AH21" s="72">
        <f t="shared" si="5"/>
        <v>5602.9524999999994</v>
      </c>
      <c r="AI21" s="71">
        <f t="shared" si="5"/>
        <v>38788.152500000011</v>
      </c>
      <c r="AJ21" s="71">
        <f t="shared" si="5"/>
        <v>24023.542499999996</v>
      </c>
      <c r="AK21" s="72">
        <f t="shared" si="5"/>
        <v>22652.674999999996</v>
      </c>
      <c r="AL21" s="71">
        <f t="shared" si="5"/>
        <v>38765.712500000009</v>
      </c>
    </row>
    <row r="22" spans="1:38" ht="14.25">
      <c r="A22" s="73" t="s">
        <v>189</v>
      </c>
      <c r="B22" s="68"/>
      <c r="C22" s="66">
        <v>0</v>
      </c>
      <c r="D22" s="67">
        <f t="shared" ref="D22:J22" si="6">C23</f>
        <v>173385.91</v>
      </c>
      <c r="E22" s="66">
        <f t="shared" si="6"/>
        <v>166916.82</v>
      </c>
      <c r="F22" s="66">
        <f t="shared" si="6"/>
        <v>160447.73000000001</v>
      </c>
      <c r="G22" s="66">
        <f t="shared" si="6"/>
        <v>153978.64000000001</v>
      </c>
      <c r="H22" s="66">
        <f t="shared" si="6"/>
        <v>144259.55000000002</v>
      </c>
      <c r="I22" s="66">
        <f t="shared" si="6"/>
        <v>133540.46000000002</v>
      </c>
      <c r="J22" s="66">
        <f t="shared" si="6"/>
        <v>114133.45000000003</v>
      </c>
      <c r="K22" s="66">
        <f t="shared" ref="K22:AL22" si="7">J23</f>
        <v>95870.015000000014</v>
      </c>
      <c r="L22" s="66">
        <f t="shared" si="7"/>
        <v>84163.275000000009</v>
      </c>
      <c r="M22" s="66">
        <f t="shared" si="7"/>
        <v>90485.78</v>
      </c>
      <c r="N22" s="66">
        <f t="shared" si="7"/>
        <v>88263.375</v>
      </c>
      <c r="O22" s="66">
        <f t="shared" si="7"/>
        <v>94246.03</v>
      </c>
      <c r="P22" s="66">
        <f t="shared" si="7"/>
        <v>84595.034999999989</v>
      </c>
      <c r="Q22" s="66">
        <f t="shared" si="7"/>
        <v>74254.819999999978</v>
      </c>
      <c r="R22" s="66">
        <f t="shared" si="7"/>
        <v>67303.63499999998</v>
      </c>
      <c r="S22" s="66">
        <f t="shared" si="7"/>
        <v>60711.369999999981</v>
      </c>
      <c r="T22" s="66">
        <f t="shared" si="7"/>
        <v>56486.38499999998</v>
      </c>
      <c r="U22" s="66">
        <f t="shared" si="7"/>
        <v>55888.329999999973</v>
      </c>
      <c r="V22" s="66">
        <f t="shared" si="7"/>
        <v>51714.65499999997</v>
      </c>
      <c r="W22" s="66">
        <f t="shared" si="7"/>
        <v>50024.919999999969</v>
      </c>
      <c r="X22" s="66">
        <f t="shared" si="7"/>
        <v>41154.222499999974</v>
      </c>
      <c r="Y22" s="66">
        <f t="shared" si="7"/>
        <v>55965.477499999979</v>
      </c>
      <c r="Z22" s="66">
        <f t="shared" si="7"/>
        <v>73413.239999999991</v>
      </c>
      <c r="AA22" s="66">
        <f t="shared" si="7"/>
        <v>93651.977499999979</v>
      </c>
      <c r="AB22" s="66">
        <f t="shared" si="7"/>
        <v>87238.417499999981</v>
      </c>
      <c r="AC22" s="66">
        <f t="shared" si="7"/>
        <v>98994.969999999972</v>
      </c>
      <c r="AD22" s="66">
        <f t="shared" si="7"/>
        <v>109166.66499999998</v>
      </c>
      <c r="AE22" s="66">
        <f t="shared" si="7"/>
        <v>121386.98249999998</v>
      </c>
      <c r="AF22" s="66">
        <f t="shared" si="7"/>
        <v>99945.852499999979</v>
      </c>
      <c r="AG22" s="66">
        <f t="shared" si="7"/>
        <v>97927.917499999981</v>
      </c>
      <c r="AH22" s="66">
        <f t="shared" si="7"/>
        <v>85522.632499999978</v>
      </c>
      <c r="AI22" s="66">
        <f t="shared" si="7"/>
        <v>91125.584999999977</v>
      </c>
      <c r="AJ22" s="66">
        <f t="shared" si="7"/>
        <v>129913.73749999999</v>
      </c>
      <c r="AK22" s="66">
        <f t="shared" si="7"/>
        <v>153937.27999999997</v>
      </c>
      <c r="AL22" s="66">
        <f t="shared" si="7"/>
        <v>176589.95499999996</v>
      </c>
    </row>
    <row r="23" spans="1:38" ht="15">
      <c r="A23" s="70" t="s">
        <v>190</v>
      </c>
      <c r="B23" s="68"/>
      <c r="C23" s="71">
        <f t="shared" ref="C23:AL23" si="8">SUM(C21:C22)</f>
        <v>173385.91</v>
      </c>
      <c r="D23" s="72">
        <f t="shared" si="8"/>
        <v>166916.82</v>
      </c>
      <c r="E23" s="71">
        <f t="shared" si="8"/>
        <v>160447.73000000001</v>
      </c>
      <c r="F23" s="71">
        <f t="shared" si="8"/>
        <v>153978.64000000001</v>
      </c>
      <c r="G23" s="72">
        <f t="shared" si="8"/>
        <v>144259.55000000002</v>
      </c>
      <c r="H23" s="71">
        <f t="shared" si="8"/>
        <v>133540.46000000002</v>
      </c>
      <c r="I23" s="71">
        <f t="shared" si="8"/>
        <v>114133.45000000003</v>
      </c>
      <c r="J23" s="72">
        <f t="shared" si="8"/>
        <v>95870.015000000014</v>
      </c>
      <c r="K23" s="71">
        <f t="shared" si="8"/>
        <v>84163.275000000009</v>
      </c>
      <c r="L23" s="71">
        <f t="shared" si="8"/>
        <v>90485.78</v>
      </c>
      <c r="M23" s="72">
        <f t="shared" si="8"/>
        <v>88263.375</v>
      </c>
      <c r="N23" s="71">
        <f t="shared" si="8"/>
        <v>94246.03</v>
      </c>
      <c r="O23" s="71">
        <f t="shared" si="8"/>
        <v>84595.034999999989</v>
      </c>
      <c r="P23" s="72">
        <f t="shared" si="8"/>
        <v>74254.819999999978</v>
      </c>
      <c r="Q23" s="71">
        <f t="shared" si="8"/>
        <v>67303.63499999998</v>
      </c>
      <c r="R23" s="71">
        <f t="shared" si="8"/>
        <v>60711.369999999981</v>
      </c>
      <c r="S23" s="72">
        <f t="shared" si="8"/>
        <v>56486.38499999998</v>
      </c>
      <c r="T23" s="71">
        <f t="shared" si="8"/>
        <v>55888.329999999973</v>
      </c>
      <c r="U23" s="71">
        <f t="shared" si="8"/>
        <v>51714.65499999997</v>
      </c>
      <c r="V23" s="72">
        <f t="shared" si="8"/>
        <v>50024.919999999969</v>
      </c>
      <c r="W23" s="71">
        <f t="shared" si="8"/>
        <v>41154.222499999974</v>
      </c>
      <c r="X23" s="71">
        <f t="shared" si="8"/>
        <v>55965.477499999979</v>
      </c>
      <c r="Y23" s="72">
        <f t="shared" si="8"/>
        <v>73413.239999999991</v>
      </c>
      <c r="Z23" s="71">
        <f t="shared" si="8"/>
        <v>93651.977499999979</v>
      </c>
      <c r="AA23" s="71">
        <f t="shared" si="8"/>
        <v>87238.417499999981</v>
      </c>
      <c r="AB23" s="72">
        <f t="shared" si="8"/>
        <v>98994.969999999972</v>
      </c>
      <c r="AC23" s="71">
        <f t="shared" si="8"/>
        <v>109166.66499999998</v>
      </c>
      <c r="AD23" s="71">
        <f t="shared" si="8"/>
        <v>121386.98249999998</v>
      </c>
      <c r="AE23" s="72">
        <f t="shared" si="8"/>
        <v>99945.852499999979</v>
      </c>
      <c r="AF23" s="71">
        <f t="shared" si="8"/>
        <v>97927.917499999981</v>
      </c>
      <c r="AG23" s="71">
        <f t="shared" si="8"/>
        <v>85522.632499999978</v>
      </c>
      <c r="AH23" s="72">
        <f t="shared" si="8"/>
        <v>91125.584999999977</v>
      </c>
      <c r="AI23" s="71">
        <f t="shared" si="8"/>
        <v>129913.73749999999</v>
      </c>
      <c r="AJ23" s="71">
        <f t="shared" si="8"/>
        <v>153937.27999999997</v>
      </c>
      <c r="AK23" s="72">
        <f t="shared" si="8"/>
        <v>176589.95499999996</v>
      </c>
      <c r="AL23" s="71">
        <f t="shared" si="8"/>
        <v>215355.66749999998</v>
      </c>
    </row>
    <row r="24" spans="1:38">
      <c r="A24" s="27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27"/>
      <c r="O24" s="28"/>
      <c r="P24" s="29"/>
      <c r="Q24" s="27"/>
      <c r="R24" s="28"/>
      <c r="S24" s="29"/>
      <c r="T24" s="27"/>
      <c r="U24" s="28"/>
      <c r="V24" s="29"/>
      <c r="W24" s="27"/>
      <c r="X24" s="28"/>
      <c r="Y24" s="29"/>
      <c r="Z24" s="27"/>
      <c r="AA24" s="28"/>
      <c r="AB24" s="29"/>
      <c r="AC24" s="27"/>
      <c r="AD24" s="28"/>
      <c r="AE24" s="29"/>
      <c r="AF24" s="27"/>
      <c r="AG24" s="28"/>
      <c r="AH24" s="29"/>
      <c r="AI24" s="27"/>
      <c r="AJ24" s="28"/>
      <c r="AK24" s="29"/>
      <c r="AL24" s="27"/>
    </row>
  </sheetData>
  <mergeCells count="4">
    <mergeCell ref="A4:B4"/>
    <mergeCell ref="A9:B9"/>
    <mergeCell ref="A13:B13"/>
    <mergeCell ref="A19:B19"/>
  </mergeCells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activeCell="F12" sqref="F12"/>
    </sheetView>
  </sheetViews>
  <sheetFormatPr defaultColWidth="11.42578125" defaultRowHeight="12.75"/>
  <cols>
    <col min="1" max="1" width="24.42578125" bestFit="1" customWidth="1"/>
    <col min="2" max="2" width="11.7109375" bestFit="1" customWidth="1"/>
  </cols>
  <sheetData>
    <row r="1" spans="1:2">
      <c r="A1" t="s">
        <v>133</v>
      </c>
    </row>
    <row r="3" spans="1:2">
      <c r="A3" t="s">
        <v>134</v>
      </c>
      <c r="B3" s="45">
        <v>160000</v>
      </c>
    </row>
    <row r="4" spans="1:2">
      <c r="A4" t="s">
        <v>135</v>
      </c>
      <c r="B4" s="9">
        <v>7.4999999999999997E-2</v>
      </c>
    </row>
    <row r="5" spans="1:2">
      <c r="A5" t="s">
        <v>136</v>
      </c>
      <c r="B5" t="s">
        <v>137</v>
      </c>
    </row>
    <row r="7" spans="1:2">
      <c r="A7" t="s">
        <v>138</v>
      </c>
    </row>
    <row r="8" spans="1:2">
      <c r="A8" t="s">
        <v>145</v>
      </c>
      <c r="B8" s="45">
        <v>160000</v>
      </c>
    </row>
    <row r="9" spans="1:2">
      <c r="A9" t="s">
        <v>146</v>
      </c>
      <c r="B9" s="45">
        <f>B8*0.075</f>
        <v>12000</v>
      </c>
    </row>
    <row r="10" spans="1:2">
      <c r="A10" t="s">
        <v>147</v>
      </c>
      <c r="B10" s="45">
        <f>B9+B8</f>
        <v>172000</v>
      </c>
    </row>
    <row r="11" spans="1:2">
      <c r="B11" s="45"/>
    </row>
    <row r="12" spans="1:2">
      <c r="A12" t="s">
        <v>148</v>
      </c>
      <c r="B12" s="45"/>
    </row>
    <row r="13" spans="1:2">
      <c r="A13" t="s">
        <v>145</v>
      </c>
      <c r="B13" s="45">
        <f>B10</f>
        <v>172000</v>
      </c>
    </row>
    <row r="14" spans="1:2">
      <c r="A14" t="s">
        <v>149</v>
      </c>
      <c r="B14" s="45">
        <f>B13*0.075</f>
        <v>12900</v>
      </c>
    </row>
    <row r="15" spans="1:2">
      <c r="A15" t="s">
        <v>48</v>
      </c>
      <c r="B15" s="45">
        <f>B13</f>
        <v>172000</v>
      </c>
    </row>
    <row r="16" spans="1:2">
      <c r="B16" s="45"/>
    </row>
    <row r="17" spans="1:2">
      <c r="A17" t="s">
        <v>151</v>
      </c>
      <c r="B17" s="45"/>
    </row>
    <row r="18" spans="1:2">
      <c r="A18" t="s">
        <v>145</v>
      </c>
      <c r="B18" s="45">
        <f>B15</f>
        <v>172000</v>
      </c>
    </row>
    <row r="19" spans="1:2">
      <c r="A19" t="s">
        <v>152</v>
      </c>
      <c r="B19" s="45">
        <f>B18*0.075</f>
        <v>12900</v>
      </c>
    </row>
    <row r="20" spans="1:2">
      <c r="A20" t="s">
        <v>147</v>
      </c>
      <c r="B20" s="45">
        <f>B18</f>
        <v>172000</v>
      </c>
    </row>
    <row r="22" spans="1:2">
      <c r="A22" t="s">
        <v>47</v>
      </c>
    </row>
    <row r="23" spans="1:2">
      <c r="A23" t="s">
        <v>145</v>
      </c>
      <c r="B23" s="45">
        <f>B20</f>
        <v>172000</v>
      </c>
    </row>
    <row r="24" spans="1:2">
      <c r="A24" t="s">
        <v>152</v>
      </c>
      <c r="B24">
        <v>11767.57</v>
      </c>
    </row>
    <row r="25" spans="1:2">
      <c r="A25" t="s">
        <v>150</v>
      </c>
    </row>
    <row r="26" spans="1:2">
      <c r="A26" t="s">
        <v>153</v>
      </c>
    </row>
    <row r="27" spans="1:2">
      <c r="A27" t="s">
        <v>147</v>
      </c>
    </row>
  </sheetData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4C5AB70C882408E91B85D1F5A561B" ma:contentTypeVersion="10" ma:contentTypeDescription="Create a new document." ma:contentTypeScope="" ma:versionID="7ed7b11c097751f29df96de9a83c641f">
  <xsd:schema xmlns:xsd="http://www.w3.org/2001/XMLSchema" xmlns:xs="http://www.w3.org/2001/XMLSchema" xmlns:p="http://schemas.microsoft.com/office/2006/metadata/properties" xmlns:ns3="18a401c7-9729-4af3-9973-3dd2707d8e45" targetNamespace="http://schemas.microsoft.com/office/2006/metadata/properties" ma:root="true" ma:fieldsID="26509a3089c6a29e3311c5ad47616678" ns3:_="">
    <xsd:import namespace="18a401c7-9729-4af3-9973-3dd2707d8e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401c7-9729-4af3-9973-3dd2707d8e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6225D-8FC1-4E06-911F-CFADCB63F75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CE8C794-98F4-4022-A6B1-8DFD98B3AE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61914B-7947-4DC4-88BF-1F01D83FB224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8a401c7-9729-4af3-9973-3dd2707d8e4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08CAAE1-6164-441A-877B-3783A151C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a401c7-9729-4af3-9973-3dd2707d8e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Reference</vt:lpstr>
      <vt:lpstr>COGS and Revenue</vt:lpstr>
      <vt:lpstr>Sales Forecast</vt:lpstr>
      <vt:lpstr>Profit and Loss</vt:lpstr>
      <vt:lpstr>Start Up Funds and Fixed Assets</vt:lpstr>
      <vt:lpstr>Balance Sheet</vt:lpstr>
      <vt:lpstr>Cash Flow</vt:lpstr>
      <vt:lpstr>Loan Interest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vasiliemiily</dc:creator>
  <cp:lastModifiedBy>MacKenzie Staples</cp:lastModifiedBy>
  <dcterms:created xsi:type="dcterms:W3CDTF">2013-12-04T16:30:13Z</dcterms:created>
  <dcterms:modified xsi:type="dcterms:W3CDTF">2019-09-17T16:51:35Z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5bb568942a40009a3d2cc11c5d25b7">
    <vt:lpwstr>Special Project|431670d7-bf05-4e34-aeb9-377c328b2795</vt:lpwstr>
  </property>
  <property fmtid="{D5CDD505-2E9C-101B-9397-08002B2CF9AE}" pid="3" name="TaxCatchAll">
    <vt:lpwstr>11;#2014|c6e16464-d37e-4e07-b6f9-cf5095860bdb;#85;#Special Project|431670d7-bf05-4e34-aeb9-377c328b2795;#28;#Bookkeeping|3cc27645-6175-42b4-94c8-95fb0ed32e2f</vt:lpwstr>
  </property>
  <property fmtid="{D5CDD505-2E9C-101B-9397-08002B2CF9AE}" pid="4" name="l10c76bb1a4d4758bc5c8207bcda6b4d">
    <vt:lpwstr>Bookkeeping|3cc27645-6175-42b4-94c8-95fb0ed32e2f</vt:lpwstr>
  </property>
  <property fmtid="{D5CDD505-2E9C-101B-9397-08002B2CF9AE}" pid="5" name="f054f0b876064fd3b6f62443dca1a97b">
    <vt:lpwstr>2014|c6e16464-d37e-4e07-b6f9-cf5095860bdb</vt:lpwstr>
  </property>
  <property fmtid="{D5CDD505-2E9C-101B-9397-08002B2CF9AE}" pid="6" name="Year">
    <vt:lpwstr>11;#2014|c6e16464-d37e-4e07-b6f9-cf5095860bdb</vt:lpwstr>
  </property>
  <property fmtid="{D5CDD505-2E9C-101B-9397-08002B2CF9AE}" pid="7" name="Category">
    <vt:lpwstr>28;#Bookkeeping|3cc27645-6175-42b4-94c8-95fb0ed32e2f</vt:lpwstr>
  </property>
  <property fmtid="{D5CDD505-2E9C-101B-9397-08002B2CF9AE}" pid="8" name="Doc Type">
    <vt:lpwstr>85;#Special Project|431670d7-bf05-4e34-aeb9-377c328b2795</vt:lpwstr>
  </property>
  <property fmtid="{D5CDD505-2E9C-101B-9397-08002B2CF9AE}" pid="9" name="Quarter">
    <vt:lpwstr/>
  </property>
  <property fmtid="{D5CDD505-2E9C-101B-9397-08002B2CF9AE}" pid="10" name="Send File to Customer Portal">
    <vt:lpwstr>, </vt:lpwstr>
  </property>
  <property fmtid="{D5CDD505-2E9C-101B-9397-08002B2CF9AE}" pid="11" name="Month">
    <vt:lpwstr/>
  </property>
  <property fmtid="{D5CDD505-2E9C-101B-9397-08002B2CF9AE}" pid="12" name="Provided By Client">
    <vt:lpwstr>No</vt:lpwstr>
  </property>
  <property fmtid="{D5CDD505-2E9C-101B-9397-08002B2CF9AE}" pid="13" name="Stamp-Qtr from Month">
    <vt:lpwstr>, </vt:lpwstr>
  </property>
  <property fmtid="{D5CDD505-2E9C-101B-9397-08002B2CF9AE}" pid="14" name="ContentTypeId">
    <vt:lpwstr>0x010100F9B4C5AB70C882408E91B85D1F5A561B</vt:lpwstr>
  </property>
</Properties>
</file>